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55e0b9976465501a/Desktop/"/>
    </mc:Choice>
  </mc:AlternateContent>
  <xr:revisionPtr revIDLastSave="69" documentId="8_{3697DEAA-0C1C-46EE-B01C-BA15FF3A9DB1}" xr6:coauthVersionLast="47" xr6:coauthVersionMax="47" xr10:uidLastSave="{30433D08-5A06-4C5A-8A08-6C4C4BB5AFC4}"/>
  <bookViews>
    <workbookView xWindow="-108" yWindow="-108" windowWidth="23256" windowHeight="12576" activeTab="3" xr2:uid="{00000000-000D-0000-FFFF-FFFF00000000}"/>
  </bookViews>
  <sheets>
    <sheet name="Pricing" sheetId="11" r:id="rId1"/>
    <sheet name="Part Combo" sheetId="2" r:id="rId2"/>
    <sheet name="Part Pricing" sheetId="3" r:id="rId3"/>
    <sheet name="Hourly Rate" sheetId="12" r:id="rId4"/>
    <sheet name="HCP Price Book" sheetId="16" r:id="rId5"/>
    <sheet name="DO NOT USE"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6" l="1"/>
  <c r="J17" i="12"/>
  <c r="H43" i="12"/>
  <c r="I43" i="12"/>
  <c r="C9" i="12"/>
  <c r="D9" i="12"/>
  <c r="E9" i="12"/>
  <c r="F9" i="12"/>
  <c r="E3" i="16"/>
  <c r="E4" i="16"/>
  <c r="E2" i="16"/>
  <c r="C83" i="3"/>
  <c r="C84" i="3"/>
  <c r="C85" i="3"/>
  <c r="C86" i="3"/>
  <c r="C87" i="3"/>
  <c r="C88" i="3"/>
  <c r="C121" i="3"/>
  <c r="D121" i="3"/>
  <c r="C122" i="3"/>
  <c r="D122" i="3" s="1"/>
  <c r="C129" i="3"/>
  <c r="E129" i="3"/>
  <c r="C130" i="3"/>
  <c r="E130" i="3"/>
  <c r="C131" i="3"/>
  <c r="E131" i="3"/>
  <c r="C146" i="3"/>
  <c r="E146" i="3"/>
  <c r="G146" i="3"/>
  <c r="I146" i="3"/>
  <c r="C147" i="3"/>
  <c r="E147" i="3"/>
  <c r="G147" i="3"/>
  <c r="I147" i="3"/>
  <c r="C148" i="3"/>
  <c r="E148" i="3"/>
  <c r="G148" i="3"/>
  <c r="I148" i="3"/>
  <c r="B114" i="2"/>
  <c r="G9" i="12" l="1"/>
  <c r="H9" i="12" s="1"/>
  <c r="K90" i="11"/>
  <c r="K89" i="11"/>
  <c r="K87" i="11"/>
  <c r="K88" i="11"/>
  <c r="K38" i="11"/>
  <c r="D282" i="2"/>
  <c r="D276" i="2"/>
  <c r="B283" i="2"/>
  <c r="D283" i="2" s="1"/>
  <c r="B277" i="2"/>
  <c r="D277" i="2" s="1"/>
  <c r="B281" i="2"/>
  <c r="D281" i="2" s="1"/>
  <c r="B275" i="2"/>
  <c r="D275" i="2" s="1"/>
  <c r="B280" i="2"/>
  <c r="D280" i="2" s="1"/>
  <c r="B274" i="2"/>
  <c r="D274" i="2" s="1"/>
  <c r="B92" i="2"/>
  <c r="D92" i="2" s="1"/>
  <c r="B89" i="2"/>
  <c r="D89" i="2" s="1"/>
  <c r="B73" i="2"/>
  <c r="B88" i="2"/>
  <c r="D88" i="2" s="1"/>
  <c r="B85" i="2"/>
  <c r="D85" i="2" s="1"/>
  <c r="B84" i="2"/>
  <c r="D84" i="2" s="1"/>
  <c r="B83" i="2"/>
  <c r="D83" i="2" s="1"/>
  <c r="B81" i="2"/>
  <c r="D81" i="2" s="1"/>
  <c r="D93" i="2"/>
  <c r="D91" i="2"/>
  <c r="D82" i="2"/>
  <c r="B270" i="2"/>
  <c r="B269" i="2"/>
  <c r="D269" i="2" s="1"/>
  <c r="B268" i="2"/>
  <c r="D268" i="2" s="1"/>
  <c r="B263" i="2"/>
  <c r="B262" i="2"/>
  <c r="D262" i="2" s="1"/>
  <c r="B261" i="2"/>
  <c r="D261" i="2" s="1"/>
  <c r="B267" i="2"/>
  <c r="D267" i="2" s="1"/>
  <c r="B260" i="2"/>
  <c r="D260" i="2" s="1"/>
  <c r="B257" i="2"/>
  <c r="D257" i="2" s="1"/>
  <c r="B254" i="2"/>
  <c r="D254" i="2" s="1"/>
  <c r="B253" i="2"/>
  <c r="D253" i="2" s="1"/>
  <c r="B252" i="2"/>
  <c r="D252" i="2" s="1"/>
  <c r="B248" i="2"/>
  <c r="D248" i="2" s="1"/>
  <c r="B245" i="2"/>
  <c r="D245" i="2" s="1"/>
  <c r="B244" i="2"/>
  <c r="D244" i="2" s="1"/>
  <c r="B243" i="2"/>
  <c r="D243" i="2" s="1"/>
  <c r="B239" i="2"/>
  <c r="D239" i="2" s="1"/>
  <c r="B236" i="2"/>
  <c r="D236" i="2" s="1"/>
  <c r="B235" i="2"/>
  <c r="D235" i="2" s="1"/>
  <c r="B234" i="2"/>
  <c r="D234" i="2" s="1"/>
  <c r="D256" i="2"/>
  <c r="D247" i="2"/>
  <c r="D238" i="2"/>
  <c r="B251" i="2"/>
  <c r="D251" i="2" s="1"/>
  <c r="B242" i="2"/>
  <c r="D242" i="2" s="1"/>
  <c r="B233" i="2"/>
  <c r="D233" i="2" s="1"/>
  <c r="B60" i="2"/>
  <c r="D60" i="2" s="1"/>
  <c r="D63" i="2"/>
  <c r="B62" i="2"/>
  <c r="D62" i="2" s="1"/>
  <c r="B61" i="2"/>
  <c r="D61" i="2" s="1"/>
  <c r="B215" i="2"/>
  <c r="D215" i="2" s="1"/>
  <c r="B224" i="2"/>
  <c r="B223" i="2"/>
  <c r="B220" i="2"/>
  <c r="B218" i="2"/>
  <c r="D218" i="2" s="1"/>
  <c r="B217" i="2"/>
  <c r="D217" i="2" s="1"/>
  <c r="D189" i="2"/>
  <c r="D191" i="2"/>
  <c r="D192" i="2"/>
  <c r="D194" i="2"/>
  <c r="D195" i="2"/>
  <c r="D196" i="2"/>
  <c r="D197" i="2"/>
  <c r="D173" i="2"/>
  <c r="D174" i="2"/>
  <c r="D176" i="2"/>
  <c r="D177" i="2"/>
  <c r="D180" i="2"/>
  <c r="D181" i="2"/>
  <c r="D182" i="2"/>
  <c r="B209" i="2"/>
  <c r="B208" i="2"/>
  <c r="B205" i="2"/>
  <c r="B203" i="2"/>
  <c r="D203" i="2" s="1"/>
  <c r="B202" i="2"/>
  <c r="D202" i="2" s="1"/>
  <c r="B193" i="2"/>
  <c r="D193" i="2" s="1"/>
  <c r="B190" i="2"/>
  <c r="D190" i="2" s="1"/>
  <c r="B188" i="2"/>
  <c r="D188" i="2" s="1"/>
  <c r="B187" i="2"/>
  <c r="D187" i="2" s="1"/>
  <c r="B179" i="2"/>
  <c r="D179" i="2" s="1"/>
  <c r="B178" i="2"/>
  <c r="D178" i="2" s="1"/>
  <c r="B175" i="2"/>
  <c r="D175" i="2" s="1"/>
  <c r="B172" i="2"/>
  <c r="D172" i="2" s="1"/>
  <c r="B200" i="2"/>
  <c r="D200" i="2" s="1"/>
  <c r="B185" i="2"/>
  <c r="D185" i="2" s="1"/>
  <c r="B170" i="2"/>
  <c r="D170" i="2" s="1"/>
  <c r="D183" i="2" s="1"/>
  <c r="K69" i="11" s="1"/>
  <c r="B164" i="2"/>
  <c r="B163" i="2"/>
  <c r="B160" i="2"/>
  <c r="B158" i="2"/>
  <c r="B157" i="2"/>
  <c r="B155" i="2"/>
  <c r="K127" i="11"/>
  <c r="K101" i="11"/>
  <c r="K100" i="11"/>
  <c r="K99" i="11"/>
  <c r="K73" i="11"/>
  <c r="K77" i="11"/>
  <c r="K27" i="11"/>
  <c r="K26" i="11"/>
  <c r="L26" i="11" s="1"/>
  <c r="M26" i="11" s="1"/>
  <c r="B33" i="2"/>
  <c r="D33" i="2" s="1"/>
  <c r="B20" i="2"/>
  <c r="D20" i="2" s="1"/>
  <c r="B22" i="2"/>
  <c r="D22" i="2" s="1"/>
  <c r="B21" i="2"/>
  <c r="D21" i="2" s="1"/>
  <c r="B36" i="2"/>
  <c r="D36" i="2" s="1"/>
  <c r="B27" i="2"/>
  <c r="D27" i="2" s="1"/>
  <c r="B34" i="2"/>
  <c r="D34" i="2" s="1"/>
  <c r="B32" i="2"/>
  <c r="D32" i="2" s="1"/>
  <c r="B29" i="2"/>
  <c r="D29" i="2" s="1"/>
  <c r="B26" i="2"/>
  <c r="D26" i="2" s="1"/>
  <c r="B25" i="2"/>
  <c r="D25" i="2" s="1"/>
  <c r="K9" i="11"/>
  <c r="K22" i="11"/>
  <c r="B151" i="2"/>
  <c r="B150" i="2"/>
  <c r="B137" i="2"/>
  <c r="B136" i="2"/>
  <c r="B123" i="2"/>
  <c r="B122" i="2"/>
  <c r="L13" i="12"/>
  <c r="L14" i="12"/>
  <c r="L15" i="12"/>
  <c r="L16" i="12"/>
  <c r="I9" i="12" l="1"/>
  <c r="J9" i="12" s="1"/>
  <c r="D284" i="2"/>
  <c r="K134" i="11" s="1"/>
  <c r="L134" i="11" s="1"/>
  <c r="M134" i="11" s="1"/>
  <c r="D278" i="2"/>
  <c r="K133" i="11" s="1"/>
  <c r="L133" i="11" s="1"/>
  <c r="M133" i="11" s="1"/>
  <c r="D272" i="2"/>
  <c r="K136" i="11" s="1"/>
  <c r="L136" i="11" s="1"/>
  <c r="M136" i="11" s="1"/>
  <c r="D265" i="2"/>
  <c r="K135" i="11" s="1"/>
  <c r="L135" i="11" s="1"/>
  <c r="M135" i="11" s="1"/>
  <c r="D64" i="2"/>
  <c r="K114" i="11" s="1"/>
  <c r="L114" i="11" s="1"/>
  <c r="M114" i="11" s="1"/>
  <c r="D229" i="2"/>
  <c r="K72" i="11" s="1"/>
  <c r="D213" i="2"/>
  <c r="K71" i="11" s="1"/>
  <c r="L27" i="11"/>
  <c r="M27" i="11" s="1"/>
  <c r="D23" i="2"/>
  <c r="K24" i="11" s="1"/>
  <c r="L24" i="11" s="1"/>
  <c r="M24" i="11" s="1"/>
  <c r="L13" i="11"/>
  <c r="M13" i="11" s="1"/>
  <c r="L137" i="11"/>
  <c r="M137" i="11" s="1"/>
  <c r="L127" i="11"/>
  <c r="M127" i="11" s="1"/>
  <c r="K128" i="11"/>
  <c r="K124" i="11"/>
  <c r="K126" i="11"/>
  <c r="L126" i="11" s="1"/>
  <c r="M126" i="11" s="1"/>
  <c r="K125" i="11"/>
  <c r="K123" i="11"/>
  <c r="L123" i="11" s="1"/>
  <c r="M123" i="11" s="1"/>
  <c r="K122" i="11"/>
  <c r="K121" i="11"/>
  <c r="L121" i="11" s="1"/>
  <c r="K120" i="11"/>
  <c r="L120" i="11" s="1"/>
  <c r="K119" i="11"/>
  <c r="L119" i="11" s="1"/>
  <c r="K118" i="11"/>
  <c r="L118" i="11" s="1"/>
  <c r="M118" i="11" s="1"/>
  <c r="K102" i="11"/>
  <c r="K103" i="11"/>
  <c r="L103" i="11" s="1"/>
  <c r="M103" i="11" s="1"/>
  <c r="L116" i="11"/>
  <c r="M116" i="11" s="1"/>
  <c r="L107" i="11"/>
  <c r="M107" i="11" s="1"/>
  <c r="L108" i="11"/>
  <c r="M108" i="11" s="1"/>
  <c r="L109" i="11"/>
  <c r="M109" i="11" s="1"/>
  <c r="L110" i="11"/>
  <c r="M110" i="11" s="1"/>
  <c r="L111" i="11"/>
  <c r="M111" i="11" s="1"/>
  <c r="L106" i="11"/>
  <c r="M106" i="11" s="1"/>
  <c r="L100" i="11"/>
  <c r="M100" i="11" s="1"/>
  <c r="L101" i="11"/>
  <c r="M101" i="11" s="1"/>
  <c r="L99" i="11"/>
  <c r="M99" i="11" s="1"/>
  <c r="B50" i="2"/>
  <c r="D50" i="2" s="1"/>
  <c r="B49" i="2"/>
  <c r="D49" i="2" s="1"/>
  <c r="L85" i="11"/>
  <c r="M85" i="11" s="1"/>
  <c r="L87" i="11"/>
  <c r="M87" i="11" s="1"/>
  <c r="L88" i="11"/>
  <c r="M88" i="11" s="1"/>
  <c r="L89" i="11"/>
  <c r="M89" i="11" s="1"/>
  <c r="L90" i="11"/>
  <c r="M90" i="11" s="1"/>
  <c r="K96" i="11"/>
  <c r="K93" i="11"/>
  <c r="L93" i="11" s="1"/>
  <c r="M93" i="11" s="1"/>
  <c r="K86" i="11"/>
  <c r="K84" i="11"/>
  <c r="K76" i="11"/>
  <c r="K78" i="11"/>
  <c r="L38" i="11"/>
  <c r="M38" i="11" s="1"/>
  <c r="L30" i="11"/>
  <c r="M30" i="11" s="1"/>
  <c r="L31" i="11"/>
  <c r="M31" i="11" s="1"/>
  <c r="L32" i="11"/>
  <c r="M32" i="11" s="1"/>
  <c r="L33" i="11"/>
  <c r="M33" i="11" s="1"/>
  <c r="L34" i="11"/>
  <c r="M34" i="11" s="1"/>
  <c r="L35" i="11"/>
  <c r="M35" i="11" s="1"/>
  <c r="L36" i="11"/>
  <c r="M36" i="11" s="1"/>
  <c r="L37" i="11"/>
  <c r="M37" i="11" s="1"/>
  <c r="L29" i="11"/>
  <c r="M29" i="11" s="1"/>
  <c r="K67" i="11"/>
  <c r="K51" i="11"/>
  <c r="K59" i="11"/>
  <c r="L22" i="11"/>
  <c r="M22" i="11" s="1"/>
  <c r="K23" i="11"/>
  <c r="L23" i="11" s="1"/>
  <c r="M23" i="11" s="1"/>
  <c r="B12" i="2"/>
  <c r="D12" i="2" s="1"/>
  <c r="B17" i="2"/>
  <c r="D17" i="2" s="1"/>
  <c r="B16" i="2"/>
  <c r="D16" i="2" s="1"/>
  <c r="K17" i="11"/>
  <c r="L17" i="11" s="1"/>
  <c r="M17" i="11" s="1"/>
  <c r="K10" i="11"/>
  <c r="L10" i="11" s="1"/>
  <c r="M10" i="11" s="1"/>
  <c r="L9" i="11"/>
  <c r="M9" i="11" s="1"/>
  <c r="B13" i="2"/>
  <c r="D13" i="2" s="1"/>
  <c r="K21" i="11"/>
  <c r="L21" i="11" s="1"/>
  <c r="K7" i="11"/>
  <c r="L7" i="11" s="1"/>
  <c r="B108" i="2"/>
  <c r="B107" i="2"/>
  <c r="B77" i="2"/>
  <c r="B74" i="2"/>
  <c r="B70" i="2"/>
  <c r="B69" i="2"/>
  <c r="B68" i="2"/>
  <c r="B66" i="2"/>
  <c r="B104" i="2"/>
  <c r="B103" i="2"/>
  <c r="B100" i="2"/>
  <c r="B99" i="2"/>
  <c r="B55" i="2"/>
  <c r="B54" i="2"/>
  <c r="B53" i="2"/>
  <c r="B144" i="2"/>
  <c r="B9" i="2"/>
  <c r="B8" i="2"/>
  <c r="B7" i="2"/>
  <c r="B4" i="2"/>
  <c r="B3" i="2"/>
  <c r="B149" i="2"/>
  <c r="B147" i="2"/>
  <c r="B146" i="2"/>
  <c r="B145" i="2"/>
  <c r="B143" i="2"/>
  <c r="B142" i="2"/>
  <c r="B135" i="2"/>
  <c r="B133" i="2"/>
  <c r="B132" i="2"/>
  <c r="B131" i="2"/>
  <c r="B130" i="2"/>
  <c r="B117" i="2"/>
  <c r="B116" i="2"/>
  <c r="B115" i="2"/>
  <c r="B129" i="2"/>
  <c r="B128" i="2"/>
  <c r="K5" i="11"/>
  <c r="L5" i="11" s="1"/>
  <c r="L14" i="11"/>
  <c r="M14" i="11" s="1"/>
  <c r="L15" i="11"/>
  <c r="M15" i="11" s="1"/>
  <c r="L16" i="11"/>
  <c r="M16" i="11" s="1"/>
  <c r="D51" i="2" l="1"/>
  <c r="K94" i="11" s="1"/>
  <c r="M119" i="11"/>
  <c r="M120" i="11"/>
  <c r="L128" i="11"/>
  <c r="M128" i="11" s="1"/>
  <c r="M121" i="11"/>
  <c r="L125" i="11"/>
  <c r="M125" i="11" s="1"/>
  <c r="L86" i="11"/>
  <c r="M86" i="11" s="1"/>
  <c r="L124" i="11"/>
  <c r="M124" i="11" s="1"/>
  <c r="L84" i="11"/>
  <c r="M84" i="11" s="1"/>
  <c r="L122" i="11"/>
  <c r="M122" i="11" s="1"/>
  <c r="L96" i="11"/>
  <c r="M96" i="11" s="1"/>
  <c r="L102" i="11"/>
  <c r="M102" i="11" s="1"/>
  <c r="D18" i="2"/>
  <c r="K18" i="11" s="1"/>
  <c r="L18" i="11" s="1"/>
  <c r="M18" i="11" s="1"/>
  <c r="D14" i="2"/>
  <c r="K8" i="11" s="1"/>
  <c r="L8" i="11" s="1"/>
  <c r="M21" i="11"/>
  <c r="M7" i="11"/>
  <c r="M5" i="11"/>
  <c r="L49" i="11"/>
  <c r="M49" i="11" s="1"/>
  <c r="L51" i="11"/>
  <c r="M51" i="11" s="1"/>
  <c r="L57" i="11"/>
  <c r="M57" i="11" s="1"/>
  <c r="L59" i="11"/>
  <c r="M59" i="11" s="1"/>
  <c r="L65" i="11"/>
  <c r="M65" i="11" s="1"/>
  <c r="L67" i="11"/>
  <c r="M67" i="11" s="1"/>
  <c r="L69" i="11"/>
  <c r="M69" i="11" s="1"/>
  <c r="L71" i="11"/>
  <c r="M71" i="11" s="1"/>
  <c r="L72" i="11"/>
  <c r="M72" i="11" s="1"/>
  <c r="L73" i="11"/>
  <c r="M73" i="11" s="1"/>
  <c r="L76" i="11"/>
  <c r="M76" i="11" s="1"/>
  <c r="L77" i="11"/>
  <c r="M77" i="11" s="1"/>
  <c r="L78" i="11"/>
  <c r="M78" i="11" s="1"/>
  <c r="B118" i="2"/>
  <c r="F8" i="12"/>
  <c r="E8" i="12"/>
  <c r="D8" i="12"/>
  <c r="C8" i="12"/>
  <c r="L40" i="11"/>
  <c r="M40" i="11" s="1"/>
  <c r="K43" i="11"/>
  <c r="L43" i="11" s="1"/>
  <c r="M43" i="11" s="1"/>
  <c r="K42" i="11"/>
  <c r="L42" i="11" s="1"/>
  <c r="M42" i="11" s="1"/>
  <c r="B121" i="2"/>
  <c r="B119" i="2"/>
  <c r="K41" i="11"/>
  <c r="L41" i="11" s="1"/>
  <c r="I42" i="12"/>
  <c r="H42" i="12"/>
  <c r="I41" i="12"/>
  <c r="H41" i="12"/>
  <c r="I40" i="12"/>
  <c r="H40" i="12"/>
  <c r="I39" i="12"/>
  <c r="H39" i="12"/>
  <c r="I38" i="12"/>
  <c r="H38" i="12"/>
  <c r="I37" i="12"/>
  <c r="H37" i="12"/>
  <c r="I36" i="12"/>
  <c r="H36" i="12"/>
  <c r="I35" i="12"/>
  <c r="H35" i="12"/>
  <c r="I34" i="12"/>
  <c r="H34" i="12"/>
  <c r="I33" i="12"/>
  <c r="H33" i="12"/>
  <c r="I32" i="12"/>
  <c r="H32" i="12"/>
  <c r="I31" i="12"/>
  <c r="H31" i="12"/>
  <c r="I30" i="12"/>
  <c r="H30" i="12"/>
  <c r="I29" i="12"/>
  <c r="H29" i="12"/>
  <c r="F28" i="12"/>
  <c r="E28" i="12"/>
  <c r="D28" i="12"/>
  <c r="C28" i="12"/>
  <c r="F27" i="12"/>
  <c r="E27" i="12"/>
  <c r="D27" i="12"/>
  <c r="C27" i="12"/>
  <c r="F26" i="12"/>
  <c r="E26" i="12"/>
  <c r="D26" i="12"/>
  <c r="C26" i="12"/>
  <c r="F25" i="12"/>
  <c r="E25" i="12"/>
  <c r="D25" i="12"/>
  <c r="C25" i="12"/>
  <c r="F24" i="12"/>
  <c r="E24" i="12"/>
  <c r="D24" i="12"/>
  <c r="C24" i="12"/>
  <c r="F23" i="12"/>
  <c r="E23" i="12"/>
  <c r="D23" i="12"/>
  <c r="C23" i="12"/>
  <c r="F22" i="12"/>
  <c r="E22" i="12"/>
  <c r="D22" i="12"/>
  <c r="C22" i="12"/>
  <c r="F21" i="12"/>
  <c r="E21" i="12"/>
  <c r="D21" i="12"/>
  <c r="C21" i="12"/>
  <c r="N14" i="12"/>
  <c r="E70" i="12" s="1"/>
  <c r="I16" i="12"/>
  <c r="H16" i="12"/>
  <c r="I15" i="12"/>
  <c r="H15" i="12"/>
  <c r="I14" i="12"/>
  <c r="H14" i="12"/>
  <c r="I13" i="12"/>
  <c r="H13" i="12"/>
  <c r="F7" i="12"/>
  <c r="E7" i="12"/>
  <c r="D7" i="12"/>
  <c r="C7" i="12"/>
  <c r="F6" i="12"/>
  <c r="E6" i="12"/>
  <c r="D6" i="12"/>
  <c r="C6" i="12"/>
  <c r="F5" i="12"/>
  <c r="E5" i="12"/>
  <c r="D5" i="12"/>
  <c r="C5" i="12"/>
  <c r="F4" i="12"/>
  <c r="E4" i="12"/>
  <c r="D4" i="12"/>
  <c r="C4" i="12"/>
  <c r="F3" i="12"/>
  <c r="E3" i="12"/>
  <c r="D3" i="12"/>
  <c r="C3" i="12"/>
  <c r="H17" i="12" l="1"/>
  <c r="P14" i="12" s="1"/>
  <c r="M14" i="12"/>
  <c r="B70" i="12" s="1"/>
  <c r="G23" i="12"/>
  <c r="H23" i="12" s="1"/>
  <c r="G6" i="12"/>
  <c r="I6" i="12" s="1"/>
  <c r="J6" i="12" s="1"/>
  <c r="I17" i="12"/>
  <c r="L17" i="12"/>
  <c r="G7" i="12"/>
  <c r="H7" i="12" s="1"/>
  <c r="G24" i="12"/>
  <c r="H24" i="12" s="1"/>
  <c r="G26" i="12"/>
  <c r="I26" i="12" s="1"/>
  <c r="J26" i="12" s="1"/>
  <c r="H26" i="12" s="1"/>
  <c r="G28" i="12"/>
  <c r="I28" i="12" s="1"/>
  <c r="J28" i="12" s="1"/>
  <c r="H28" i="12" s="1"/>
  <c r="G8" i="12"/>
  <c r="I8" i="12" s="1"/>
  <c r="J8" i="12" s="1"/>
  <c r="M8" i="11"/>
  <c r="H8" i="12"/>
  <c r="G27" i="12"/>
  <c r="I27" i="12" s="1"/>
  <c r="J27" i="12" s="1"/>
  <c r="H27" i="12" s="1"/>
  <c r="G4" i="12"/>
  <c r="I4" i="12" s="1"/>
  <c r="J4" i="12" s="1"/>
  <c r="G22" i="12"/>
  <c r="I22" i="12" s="1"/>
  <c r="J22" i="12" s="1"/>
  <c r="G5" i="12"/>
  <c r="I5" i="12" s="1"/>
  <c r="J5" i="12" s="1"/>
  <c r="G25" i="12"/>
  <c r="H25" i="12" s="1"/>
  <c r="G21" i="12"/>
  <c r="I21" i="12" s="1"/>
  <c r="J21" i="12" s="1"/>
  <c r="G3" i="12"/>
  <c r="H3" i="12" s="1"/>
  <c r="M41" i="11"/>
  <c r="E62" i="12"/>
  <c r="R14" i="12" l="1"/>
  <c r="Q14" i="12"/>
  <c r="O14" i="12"/>
  <c r="I23" i="12"/>
  <c r="J23" i="12" s="1"/>
  <c r="H6" i="12"/>
  <c r="B62" i="12"/>
  <c r="N3" i="12"/>
  <c r="M3" i="12"/>
  <c r="I7" i="12"/>
  <c r="J7" i="12" s="1"/>
  <c r="I24" i="12"/>
  <c r="J24" i="12" s="1"/>
  <c r="J44" i="12" s="1"/>
  <c r="H4" i="12"/>
  <c r="P3" i="12"/>
  <c r="O3" i="12"/>
  <c r="R3" i="12"/>
  <c r="Q3" i="12"/>
  <c r="H22" i="12"/>
  <c r="H21" i="12"/>
  <c r="H5" i="12"/>
  <c r="I25" i="12"/>
  <c r="J25" i="12" s="1"/>
  <c r="I3" i="12"/>
  <c r="J3" i="12" s="1"/>
  <c r="J10" i="12" l="1"/>
  <c r="A52" i="12" s="1"/>
  <c r="B122" i="12"/>
  <c r="B113" i="12"/>
  <c r="B104" i="12"/>
  <c r="H44" i="12"/>
  <c r="E122" i="12"/>
  <c r="E113" i="12"/>
  <c r="E104" i="12"/>
  <c r="B95" i="12"/>
  <c r="E95" i="12"/>
  <c r="E77" i="12"/>
  <c r="E69" i="12"/>
  <c r="E61" i="12"/>
  <c r="E86" i="12"/>
  <c r="N27" i="12"/>
  <c r="E115" i="12" s="1"/>
  <c r="E116" i="12" s="1"/>
  <c r="N23" i="12"/>
  <c r="E79" i="12" s="1"/>
  <c r="N21" i="12"/>
  <c r="E63" i="12" s="1"/>
  <c r="N25" i="12"/>
  <c r="E97" i="12" s="1"/>
  <c r="M27" i="12"/>
  <c r="B115" i="12" s="1"/>
  <c r="B116" i="12" s="1"/>
  <c r="M23" i="12"/>
  <c r="B79" i="12" s="1"/>
  <c r="M21" i="12"/>
  <c r="B63" i="12" s="1"/>
  <c r="I44" i="12"/>
  <c r="N28" i="12"/>
  <c r="E124" i="12" s="1"/>
  <c r="E125" i="12" s="1"/>
  <c r="N24" i="12"/>
  <c r="E88" i="12" s="1"/>
  <c r="M28" i="12"/>
  <c r="B124" i="12" s="1"/>
  <c r="M24" i="12"/>
  <c r="B88" i="12" s="1"/>
  <c r="M22" i="12"/>
  <c r="B71" i="12" s="1"/>
  <c r="M25" i="12"/>
  <c r="B97" i="12" s="1"/>
  <c r="N26" i="12"/>
  <c r="E106" i="12" s="1"/>
  <c r="N22" i="12"/>
  <c r="E71" i="12" s="1"/>
  <c r="M26" i="12"/>
  <c r="B106" i="12" s="1"/>
  <c r="B107" i="12" s="1"/>
  <c r="B125" i="12" l="1"/>
  <c r="E107" i="12"/>
  <c r="E72" i="12"/>
  <c r="E80" i="12"/>
  <c r="B86" i="12"/>
  <c r="B89" i="12" s="1"/>
  <c r="B61" i="12"/>
  <c r="B64" i="12" s="1"/>
  <c r="B69" i="12"/>
  <c r="B72" i="12" s="1"/>
  <c r="B77" i="12"/>
  <c r="B80" i="12" s="1"/>
  <c r="E98" i="12"/>
  <c r="P2" i="11" s="1"/>
  <c r="B52" i="12"/>
  <c r="M57" i="12" s="1"/>
  <c r="B54" i="12"/>
  <c r="E89" i="12"/>
  <c r="E64" i="12"/>
  <c r="B98" i="12"/>
  <c r="Q2" i="11" l="1"/>
  <c r="P26" i="11"/>
  <c r="Q26" i="11" s="1"/>
  <c r="R26" i="11" s="1"/>
  <c r="P106" i="11"/>
  <c r="P45" i="11"/>
  <c r="Q45" i="11" s="1"/>
  <c r="P40" i="11"/>
  <c r="Q40" i="11" s="1"/>
  <c r="P84" i="11"/>
  <c r="P69" i="11"/>
  <c r="P99" i="11"/>
  <c r="P3" i="11"/>
  <c r="P113" i="11"/>
  <c r="P118" i="11"/>
  <c r="P130" i="11"/>
  <c r="P29" i="11"/>
  <c r="E53" i="12"/>
  <c r="D53" i="12"/>
  <c r="C53" i="12"/>
  <c r="E52" i="12"/>
  <c r="D52" i="12"/>
  <c r="C52" i="12"/>
  <c r="S26" i="11" l="1"/>
  <c r="D26" i="11" s="1"/>
  <c r="E26" i="11" s="1"/>
  <c r="Q3" i="11"/>
  <c r="P27" i="11"/>
  <c r="Q27" i="11" s="1"/>
  <c r="R27" i="11" s="1"/>
  <c r="Q106" i="11"/>
  <c r="R106" i="11" s="1"/>
  <c r="Q113" i="11"/>
  <c r="Q130" i="11"/>
  <c r="Q69" i="11"/>
  <c r="R69" i="11" s="1"/>
  <c r="Q118" i="11"/>
  <c r="R118" i="11" s="1"/>
  <c r="Q99" i="11"/>
  <c r="R99" i="11" s="1"/>
  <c r="Q84" i="11"/>
  <c r="R84" i="11" s="1"/>
  <c r="Q29" i="11"/>
  <c r="R29" i="11" s="1"/>
  <c r="S29" i="11" s="1"/>
  <c r="P131" i="11"/>
  <c r="P119" i="11"/>
  <c r="P70" i="11"/>
  <c r="P30" i="11"/>
  <c r="P41" i="11"/>
  <c r="Q41" i="11" s="1"/>
  <c r="P85" i="11"/>
  <c r="P4" i="11"/>
  <c r="Q4" i="11" s="1"/>
  <c r="P46" i="11"/>
  <c r="Q46" i="11" s="1"/>
  <c r="P114" i="11"/>
  <c r="P100" i="11"/>
  <c r="P107" i="11"/>
  <c r="P59" i="11"/>
  <c r="P63" i="11"/>
  <c r="Q63" i="11" s="1"/>
  <c r="P60" i="11"/>
  <c r="Q60" i="11" s="1"/>
  <c r="P68" i="11"/>
  <c r="P58" i="11"/>
  <c r="Q58" i="11" s="1"/>
  <c r="P67" i="11"/>
  <c r="P66" i="11"/>
  <c r="Q66" i="11" s="1"/>
  <c r="P61" i="11"/>
  <c r="Q61" i="11" s="1"/>
  <c r="P62" i="11"/>
  <c r="Q62" i="11" s="1"/>
  <c r="P57" i="11"/>
  <c r="P64" i="11"/>
  <c r="Q64" i="11" s="1"/>
  <c r="P65" i="11"/>
  <c r="R40" i="11"/>
  <c r="S40" i="11" s="1"/>
  <c r="M58" i="12"/>
  <c r="M59" i="12" s="1"/>
  <c r="M60" i="12" s="1"/>
  <c r="G26" i="11" l="1"/>
  <c r="F26" i="11"/>
  <c r="I26" i="11"/>
  <c r="J26" i="11"/>
  <c r="H26" i="11"/>
  <c r="S27" i="11"/>
  <c r="D27" i="11" s="1"/>
  <c r="E27" i="11" s="1"/>
  <c r="S106" i="11"/>
  <c r="D106" i="11" s="1"/>
  <c r="E106" i="11" s="1"/>
  <c r="S118" i="11"/>
  <c r="D118" i="11" s="1"/>
  <c r="E118" i="11" s="1"/>
  <c r="S84" i="11"/>
  <c r="D84" i="11" s="1"/>
  <c r="E84" i="11" s="1"/>
  <c r="S99" i="11"/>
  <c r="D99" i="11" s="1"/>
  <c r="E99" i="11" s="1"/>
  <c r="Q114" i="11"/>
  <c r="R114" i="11" s="1"/>
  <c r="Q131" i="11"/>
  <c r="Q85" i="11"/>
  <c r="R85" i="11" s="1"/>
  <c r="Q57" i="11"/>
  <c r="R57" i="11" s="1"/>
  <c r="S69" i="11"/>
  <c r="D69" i="11" s="1"/>
  <c r="E69" i="11" s="1"/>
  <c r="Q59" i="11"/>
  <c r="R59" i="11" s="1"/>
  <c r="Q67" i="11"/>
  <c r="R67" i="11" s="1"/>
  <c r="D29" i="11"/>
  <c r="Q30" i="11"/>
  <c r="R30" i="11" s="1"/>
  <c r="Q107" i="11"/>
  <c r="R107" i="11" s="1"/>
  <c r="Q70" i="11"/>
  <c r="Q65" i="11"/>
  <c r="R65" i="11" s="1"/>
  <c r="Q68" i="11"/>
  <c r="Q100" i="11"/>
  <c r="R100" i="11" s="1"/>
  <c r="Q119" i="11"/>
  <c r="R119" i="11" s="1"/>
  <c r="P132" i="11"/>
  <c r="P101" i="11"/>
  <c r="P86" i="11"/>
  <c r="P71" i="11"/>
  <c r="P42" i="11"/>
  <c r="Q42" i="11" s="1"/>
  <c r="P115" i="11"/>
  <c r="P108" i="11"/>
  <c r="P31" i="11"/>
  <c r="P5" i="11"/>
  <c r="Q5" i="11" s="1"/>
  <c r="P120" i="11"/>
  <c r="P47" i="11"/>
  <c r="Q47" i="11" s="1"/>
  <c r="D40" i="11"/>
  <c r="E40" i="11" s="1"/>
  <c r="R41" i="11"/>
  <c r="S41" i="11" s="1"/>
  <c r="H29" i="11" l="1"/>
  <c r="E29" i="11"/>
  <c r="J27" i="11"/>
  <c r="I27" i="11"/>
  <c r="H27" i="11"/>
  <c r="G27" i="11"/>
  <c r="F27" i="11"/>
  <c r="J29" i="11"/>
  <c r="F29" i="11"/>
  <c r="G29" i="11"/>
  <c r="S30" i="11"/>
  <c r="D30" i="11" s="1"/>
  <c r="E30" i="11" s="1"/>
  <c r="S65" i="11"/>
  <c r="D65" i="11" s="1"/>
  <c r="E65" i="11" s="1"/>
  <c r="I29" i="11"/>
  <c r="S85" i="11"/>
  <c r="D85" i="11" s="1"/>
  <c r="E85" i="11" s="1"/>
  <c r="S100" i="11"/>
  <c r="D100" i="11" s="1"/>
  <c r="E100" i="11" s="1"/>
  <c r="S114" i="11"/>
  <c r="D114" i="11" s="1"/>
  <c r="E114" i="11" s="1"/>
  <c r="S107" i="11"/>
  <c r="D107" i="11" s="1"/>
  <c r="E107" i="11" s="1"/>
  <c r="H106" i="11"/>
  <c r="G106" i="11"/>
  <c r="J106" i="11"/>
  <c r="I106" i="11"/>
  <c r="F106" i="11"/>
  <c r="S67" i="11"/>
  <c r="D67" i="11" s="1"/>
  <c r="S59" i="11"/>
  <c r="D59" i="11" s="1"/>
  <c r="E59" i="11" s="1"/>
  <c r="H99" i="11"/>
  <c r="I99" i="11"/>
  <c r="G99" i="11"/>
  <c r="J99" i="11"/>
  <c r="F99" i="11"/>
  <c r="G69" i="11"/>
  <c r="F69" i="11"/>
  <c r="J69" i="11"/>
  <c r="I69" i="11"/>
  <c r="H69" i="11"/>
  <c r="G84" i="11"/>
  <c r="I84" i="11"/>
  <c r="H84" i="11"/>
  <c r="J84" i="11"/>
  <c r="F84" i="11"/>
  <c r="S57" i="11"/>
  <c r="D57" i="11" s="1"/>
  <c r="E57" i="11" s="1"/>
  <c r="G118" i="11"/>
  <c r="J118" i="11"/>
  <c r="H118" i="11"/>
  <c r="F118" i="11"/>
  <c r="I118" i="11"/>
  <c r="Q31" i="11"/>
  <c r="R31" i="11" s="1"/>
  <c r="S119" i="11"/>
  <c r="D119" i="11" s="1"/>
  <c r="E119" i="11" s="1"/>
  <c r="Q108" i="11"/>
  <c r="R108" i="11" s="1"/>
  <c r="Q115" i="11"/>
  <c r="Q71" i="11"/>
  <c r="R71" i="11" s="1"/>
  <c r="Q86" i="11"/>
  <c r="R86" i="11" s="1"/>
  <c r="Q120" i="11"/>
  <c r="R120" i="11" s="1"/>
  <c r="Q101" i="11"/>
  <c r="R101" i="11" s="1"/>
  <c r="Q132" i="11"/>
  <c r="G40" i="11"/>
  <c r="H40" i="11"/>
  <c r="I40" i="11"/>
  <c r="P133" i="11"/>
  <c r="P32" i="11"/>
  <c r="P87" i="11"/>
  <c r="P43" i="11"/>
  <c r="Q43" i="11" s="1"/>
  <c r="P72" i="11"/>
  <c r="R5" i="11"/>
  <c r="P48" i="11"/>
  <c r="Q48" i="11" s="1"/>
  <c r="P109" i="11"/>
  <c r="P102" i="11"/>
  <c r="P6" i="11"/>
  <c r="Q6" i="11" s="1"/>
  <c r="P116" i="11"/>
  <c r="P121" i="11"/>
  <c r="F40" i="11"/>
  <c r="J40" i="11"/>
  <c r="D41" i="11"/>
  <c r="E41" i="11" s="1"/>
  <c r="R42" i="11"/>
  <c r="S42" i="11" s="1"/>
  <c r="H67" i="11" l="1"/>
  <c r="E67" i="11"/>
  <c r="F65" i="11"/>
  <c r="H65" i="11"/>
  <c r="I65" i="11"/>
  <c r="G65" i="11"/>
  <c r="J65" i="11"/>
  <c r="I57" i="11"/>
  <c r="G57" i="11"/>
  <c r="H57" i="11"/>
  <c r="F57" i="11"/>
  <c r="J57" i="11"/>
  <c r="I30" i="11"/>
  <c r="F30" i="11"/>
  <c r="J30" i="11"/>
  <c r="G30" i="11"/>
  <c r="H30" i="11"/>
  <c r="G67" i="11"/>
  <c r="J67" i="11"/>
  <c r="I67" i="11"/>
  <c r="F67" i="11"/>
  <c r="J59" i="11"/>
  <c r="I59" i="11"/>
  <c r="F59" i="11"/>
  <c r="G59" i="11"/>
  <c r="H59" i="11"/>
  <c r="H107" i="11"/>
  <c r="G107" i="11"/>
  <c r="I107" i="11"/>
  <c r="F107" i="11"/>
  <c r="J107" i="11"/>
  <c r="S101" i="11"/>
  <c r="D101" i="11" s="1"/>
  <c r="E101" i="11" s="1"/>
  <c r="S120" i="11"/>
  <c r="D120" i="11" s="1"/>
  <c r="E120" i="11" s="1"/>
  <c r="J114" i="11"/>
  <c r="G114" i="11"/>
  <c r="F114" i="11"/>
  <c r="H114" i="11"/>
  <c r="I114" i="11"/>
  <c r="S86" i="11"/>
  <c r="D86" i="11" s="1"/>
  <c r="E86" i="11" s="1"/>
  <c r="F100" i="11"/>
  <c r="J100" i="11"/>
  <c r="I100" i="11"/>
  <c r="G100" i="11"/>
  <c r="H100" i="11"/>
  <c r="G85" i="11"/>
  <c r="I85" i="11"/>
  <c r="H85" i="11"/>
  <c r="F85" i="11"/>
  <c r="J85" i="11"/>
  <c r="Q102" i="11"/>
  <c r="R102" i="11" s="1"/>
  <c r="S5" i="11"/>
  <c r="D5" i="11" s="1"/>
  <c r="E5" i="11" s="1"/>
  <c r="S108" i="11"/>
  <c r="D108" i="11" s="1"/>
  <c r="E108" i="11" s="1"/>
  <c r="Q72" i="11"/>
  <c r="R72" i="11" s="1"/>
  <c r="S71" i="11"/>
  <c r="D71" i="11" s="1"/>
  <c r="E71" i="11" s="1"/>
  <c r="G119" i="11"/>
  <c r="F119" i="11"/>
  <c r="I119" i="11"/>
  <c r="J119" i="11"/>
  <c r="H119" i="11"/>
  <c r="Q121" i="11"/>
  <c r="R121" i="11" s="1"/>
  <c r="Q87" i="11"/>
  <c r="R87" i="11" s="1"/>
  <c r="S31" i="11"/>
  <c r="D31" i="11" s="1"/>
  <c r="E31" i="11" s="1"/>
  <c r="Q32" i="11"/>
  <c r="R32" i="11" s="1"/>
  <c r="Q116" i="11"/>
  <c r="R116" i="11" s="1"/>
  <c r="Q133" i="11"/>
  <c r="R133" i="11" s="1"/>
  <c r="Q109" i="11"/>
  <c r="R109" i="11" s="1"/>
  <c r="G41" i="11"/>
  <c r="H41" i="11"/>
  <c r="I41" i="11"/>
  <c r="P134" i="11"/>
  <c r="P122" i="11"/>
  <c r="P49" i="11"/>
  <c r="P103" i="11"/>
  <c r="P7" i="11"/>
  <c r="Q7" i="11" s="1"/>
  <c r="P88" i="11"/>
  <c r="P33" i="11"/>
  <c r="P73" i="11"/>
  <c r="P110" i="11"/>
  <c r="F41" i="11"/>
  <c r="J41" i="11"/>
  <c r="D42" i="11"/>
  <c r="E42" i="11" s="1"/>
  <c r="R43" i="11"/>
  <c r="S43" i="11" s="1"/>
  <c r="F5" i="11" l="1"/>
  <c r="I5" i="11"/>
  <c r="S32" i="11"/>
  <c r="D32" i="11" s="1"/>
  <c r="E32" i="11" s="1"/>
  <c r="S87" i="11"/>
  <c r="D87" i="11" s="1"/>
  <c r="E87" i="11" s="1"/>
  <c r="G120" i="11"/>
  <c r="I120" i="11"/>
  <c r="F120" i="11"/>
  <c r="J120" i="11"/>
  <c r="H120" i="11"/>
  <c r="G101" i="11"/>
  <c r="I101" i="11"/>
  <c r="H101" i="11"/>
  <c r="F101" i="11"/>
  <c r="J101" i="11"/>
  <c r="S102" i="11"/>
  <c r="D102" i="11" s="1"/>
  <c r="E102" i="11" s="1"/>
  <c r="S133" i="11"/>
  <c r="D133" i="11" s="1"/>
  <c r="E133" i="11" s="1"/>
  <c r="S121" i="11"/>
  <c r="D121" i="11" s="1"/>
  <c r="E121" i="11" s="1"/>
  <c r="G5" i="11"/>
  <c r="Q88" i="11"/>
  <c r="R88" i="11" s="1"/>
  <c r="H5" i="11"/>
  <c r="S116" i="11"/>
  <c r="D116" i="11" s="1"/>
  <c r="E116" i="11" s="1"/>
  <c r="Q103" i="11"/>
  <c r="R103" i="11" s="1"/>
  <c r="S72" i="11"/>
  <c r="D72" i="11" s="1"/>
  <c r="E72" i="11" s="1"/>
  <c r="J5" i="11"/>
  <c r="Q49" i="11"/>
  <c r="R49" i="11" s="1"/>
  <c r="S109" i="11"/>
  <c r="D109" i="11" s="1"/>
  <c r="E109" i="11" s="1"/>
  <c r="I108" i="11"/>
  <c r="J108" i="11"/>
  <c r="F108" i="11"/>
  <c r="G108" i="11"/>
  <c r="H108" i="11"/>
  <c r="G71" i="11"/>
  <c r="H71" i="11"/>
  <c r="I71" i="11"/>
  <c r="F71" i="11"/>
  <c r="J71" i="11"/>
  <c r="J86" i="11"/>
  <c r="G86" i="11"/>
  <c r="I86" i="11"/>
  <c r="H86" i="11"/>
  <c r="F86" i="11"/>
  <c r="Q122" i="11"/>
  <c r="R122" i="11" s="1"/>
  <c r="Q73" i="11"/>
  <c r="R73" i="11" s="1"/>
  <c r="Q33" i="11"/>
  <c r="R33" i="11" s="1"/>
  <c r="Q110" i="11"/>
  <c r="R110" i="11" s="1"/>
  <c r="Q134" i="11"/>
  <c r="R134" i="11" s="1"/>
  <c r="H31" i="11"/>
  <c r="J31" i="11"/>
  <c r="G31" i="11"/>
  <c r="I31" i="11"/>
  <c r="F31" i="11"/>
  <c r="I42" i="11"/>
  <c r="G42" i="11"/>
  <c r="H42" i="11"/>
  <c r="P135" i="11"/>
  <c r="R7" i="11"/>
  <c r="P111" i="11"/>
  <c r="P50" i="11"/>
  <c r="Q50" i="11" s="1"/>
  <c r="P34" i="11"/>
  <c r="P104" i="11"/>
  <c r="P74" i="11"/>
  <c r="Q74" i="11" s="1"/>
  <c r="P8" i="11"/>
  <c r="Q8" i="11" s="1"/>
  <c r="P89" i="11"/>
  <c r="P123" i="11"/>
  <c r="F42" i="11"/>
  <c r="J42" i="11"/>
  <c r="D43" i="11"/>
  <c r="E43" i="11" s="1"/>
  <c r="S122" i="11" l="1"/>
  <c r="D122" i="11" s="1"/>
  <c r="E122" i="11" s="1"/>
  <c r="G87" i="11"/>
  <c r="H87" i="11"/>
  <c r="J87" i="11"/>
  <c r="I87" i="11"/>
  <c r="F87" i="11"/>
  <c r="H121" i="11"/>
  <c r="F121" i="11"/>
  <c r="G121" i="11"/>
  <c r="J121" i="11"/>
  <c r="I121" i="11"/>
  <c r="S110" i="11"/>
  <c r="D110" i="11" s="1"/>
  <c r="E110" i="11" s="1"/>
  <c r="S103" i="11"/>
  <c r="D103" i="11" s="1"/>
  <c r="E103" i="11" s="1"/>
  <c r="S88" i="11"/>
  <c r="D88" i="11" s="1"/>
  <c r="E88" i="11" s="1"/>
  <c r="S33" i="11"/>
  <c r="D33" i="11" s="1"/>
  <c r="E33" i="11" s="1"/>
  <c r="S134" i="11"/>
  <c r="D134" i="11" s="1"/>
  <c r="E134" i="11" s="1"/>
  <c r="Q104" i="11"/>
  <c r="H116" i="11"/>
  <c r="F116" i="11"/>
  <c r="I116" i="11"/>
  <c r="J116" i="11"/>
  <c r="G116" i="11"/>
  <c r="I32" i="11"/>
  <c r="G32" i="11"/>
  <c r="J32" i="11"/>
  <c r="F32" i="11"/>
  <c r="H32" i="11"/>
  <c r="Q111" i="11"/>
  <c r="R111" i="11" s="1"/>
  <c r="H109" i="11"/>
  <c r="F109" i="11"/>
  <c r="G109" i="11"/>
  <c r="I109" i="11"/>
  <c r="J109" i="11"/>
  <c r="G102" i="11"/>
  <c r="I102" i="11"/>
  <c r="H102" i="11"/>
  <c r="J102" i="11"/>
  <c r="F102" i="11"/>
  <c r="Q123" i="11"/>
  <c r="R123" i="11" s="1"/>
  <c r="S7" i="11"/>
  <c r="D7" i="11" s="1"/>
  <c r="E7" i="11" s="1"/>
  <c r="Q34" i="11"/>
  <c r="R34" i="11" s="1"/>
  <c r="Q89" i="11"/>
  <c r="R89" i="11" s="1"/>
  <c r="S49" i="11"/>
  <c r="D49" i="11" s="1"/>
  <c r="E49" i="11" s="1"/>
  <c r="Q135" i="11"/>
  <c r="R135" i="11" s="1"/>
  <c r="S135" i="11" s="1"/>
  <c r="J72" i="11"/>
  <c r="F72" i="11"/>
  <c r="G72" i="11"/>
  <c r="H72" i="11"/>
  <c r="I72" i="11"/>
  <c r="S73" i="11"/>
  <c r="D73" i="11" s="1"/>
  <c r="E73" i="11" s="1"/>
  <c r="H133" i="11"/>
  <c r="I133" i="11"/>
  <c r="J133" i="11"/>
  <c r="F133" i="11"/>
  <c r="G133" i="11"/>
  <c r="G43" i="11"/>
  <c r="H43" i="11"/>
  <c r="I43" i="11"/>
  <c r="P136" i="11"/>
  <c r="R8" i="11"/>
  <c r="P124" i="11"/>
  <c r="P9" i="11"/>
  <c r="Q9" i="11" s="1"/>
  <c r="P51" i="11"/>
  <c r="P35" i="11"/>
  <c r="P90" i="11"/>
  <c r="F43" i="11"/>
  <c r="J43" i="11"/>
  <c r="D157" i="2"/>
  <c r="D158" i="2"/>
  <c r="D155" i="2"/>
  <c r="D44" i="2"/>
  <c r="D43" i="2"/>
  <c r="D40" i="2"/>
  <c r="D39" i="2"/>
  <c r="D54" i="2"/>
  <c r="D55" i="2"/>
  <c r="D53" i="2"/>
  <c r="D104" i="2"/>
  <c r="D103" i="2"/>
  <c r="D8" i="2"/>
  <c r="D9" i="2"/>
  <c r="D7" i="2"/>
  <c r="B87" i="2"/>
  <c r="D87" i="2" s="1"/>
  <c r="B86" i="2"/>
  <c r="D86" i="2" s="1"/>
  <c r="D100" i="2"/>
  <c r="D99" i="2"/>
  <c r="H3" i="6"/>
  <c r="I3" i="6" s="1"/>
  <c r="N3" i="6" s="1"/>
  <c r="H4" i="6"/>
  <c r="I4" i="6" s="1"/>
  <c r="M4" i="6" s="1"/>
  <c r="H5" i="6"/>
  <c r="I5" i="6" s="1"/>
  <c r="N5" i="6" s="1"/>
  <c r="H6" i="6"/>
  <c r="H7" i="6"/>
  <c r="I7" i="6" s="1"/>
  <c r="N7" i="6" s="1"/>
  <c r="H8" i="6"/>
  <c r="I8" i="6" s="1"/>
  <c r="H9" i="6"/>
  <c r="I9" i="6" s="1"/>
  <c r="N9" i="6" s="1"/>
  <c r="H10" i="6"/>
  <c r="H11" i="6"/>
  <c r="I11" i="6" s="1"/>
  <c r="N11" i="6" s="1"/>
  <c r="H12" i="6"/>
  <c r="I12" i="6" s="1"/>
  <c r="H13" i="6"/>
  <c r="I13" i="6" s="1"/>
  <c r="M13" i="6" s="1"/>
  <c r="H14" i="6"/>
  <c r="H15" i="6"/>
  <c r="I15" i="6" s="1"/>
  <c r="M15" i="6" s="1"/>
  <c r="H16" i="6"/>
  <c r="I16" i="6" s="1"/>
  <c r="H17" i="6"/>
  <c r="I17" i="6" s="1"/>
  <c r="N17" i="6" s="1"/>
  <c r="H18" i="6"/>
  <c r="I18" i="6" s="1"/>
  <c r="H19" i="6"/>
  <c r="I19" i="6" s="1"/>
  <c r="M19" i="6" s="1"/>
  <c r="H20" i="6"/>
  <c r="I20" i="6" s="1"/>
  <c r="H21" i="6"/>
  <c r="I21" i="6" s="1"/>
  <c r="M21" i="6" s="1"/>
  <c r="H22" i="6"/>
  <c r="H23" i="6"/>
  <c r="H24" i="6"/>
  <c r="H25" i="6"/>
  <c r="I25" i="6" s="1"/>
  <c r="H26" i="6"/>
  <c r="H27" i="6"/>
  <c r="I27" i="6" s="1"/>
  <c r="H28" i="6"/>
  <c r="I28" i="6" s="1"/>
  <c r="N28" i="6" s="1"/>
  <c r="H29" i="6"/>
  <c r="I29" i="6" s="1"/>
  <c r="N29" i="6" s="1"/>
  <c r="H30" i="6"/>
  <c r="H31" i="6"/>
  <c r="H32" i="6"/>
  <c r="H33" i="6"/>
  <c r="I33" i="6" s="1"/>
  <c r="H34" i="6"/>
  <c r="H35" i="6"/>
  <c r="I35" i="6" s="1"/>
  <c r="H36" i="6"/>
  <c r="I36" i="6" s="1"/>
  <c r="H37" i="6"/>
  <c r="I37" i="6" s="1"/>
  <c r="H38" i="6"/>
  <c r="H39" i="6"/>
  <c r="H40" i="6"/>
  <c r="H41" i="6"/>
  <c r="I41" i="6" s="1"/>
  <c r="H42" i="6"/>
  <c r="H43" i="6"/>
  <c r="I43" i="6" s="1"/>
  <c r="H44" i="6"/>
  <c r="I44" i="6" s="1"/>
  <c r="H45" i="6"/>
  <c r="I45" i="6" s="1"/>
  <c r="M45" i="6" s="1"/>
  <c r="H46" i="6"/>
  <c r="H47" i="6"/>
  <c r="H48" i="6"/>
  <c r="H49" i="6"/>
  <c r="I49" i="6" s="1"/>
  <c r="H50" i="6"/>
  <c r="H51" i="6"/>
  <c r="I51" i="6" s="1"/>
  <c r="H52" i="6"/>
  <c r="I52" i="6" s="1"/>
  <c r="H53" i="6"/>
  <c r="I53" i="6" s="1"/>
  <c r="H54" i="6"/>
  <c r="H55" i="6"/>
  <c r="H56" i="6"/>
  <c r="H57" i="6"/>
  <c r="I57" i="6" s="1"/>
  <c r="H58" i="6"/>
  <c r="H59" i="6"/>
  <c r="I59" i="6" s="1"/>
  <c r="H60" i="6"/>
  <c r="I60" i="6" s="1"/>
  <c r="H61" i="6"/>
  <c r="I61" i="6" s="1"/>
  <c r="H62" i="6"/>
  <c r="H63" i="6"/>
  <c r="H64" i="6"/>
  <c r="H65" i="6"/>
  <c r="I65" i="6" s="1"/>
  <c r="H66" i="6"/>
  <c r="H67" i="6"/>
  <c r="I67" i="6" s="1"/>
  <c r="H68" i="6"/>
  <c r="I68" i="6" s="1"/>
  <c r="H69" i="6"/>
  <c r="I69" i="6" s="1"/>
  <c r="H70" i="6"/>
  <c r="H71" i="6"/>
  <c r="H72" i="6"/>
  <c r="H73" i="6"/>
  <c r="I73" i="6" s="1"/>
  <c r="H74" i="6"/>
  <c r="H75" i="6"/>
  <c r="I75" i="6" s="1"/>
  <c r="H76" i="6"/>
  <c r="I76" i="6" s="1"/>
  <c r="H77" i="6"/>
  <c r="I77" i="6" s="1"/>
  <c r="N77" i="6" s="1"/>
  <c r="H78" i="6"/>
  <c r="H79" i="6"/>
  <c r="H80" i="6"/>
  <c r="H81" i="6"/>
  <c r="I81" i="6" s="1"/>
  <c r="H82" i="6"/>
  <c r="H83" i="6"/>
  <c r="I83" i="6" s="1"/>
  <c r="H84" i="6"/>
  <c r="I84" i="6" s="1"/>
  <c r="M84" i="6" s="1"/>
  <c r="H85" i="6"/>
  <c r="I85" i="6" s="1"/>
  <c r="H86" i="6"/>
  <c r="H87" i="6"/>
  <c r="H88" i="6"/>
  <c r="H89" i="6"/>
  <c r="I89" i="6" s="1"/>
  <c r="H90" i="6"/>
  <c r="H91" i="6"/>
  <c r="I91" i="6" s="1"/>
  <c r="H92" i="6"/>
  <c r="I92" i="6" s="1"/>
  <c r="M92" i="6" s="1"/>
  <c r="H93" i="6"/>
  <c r="I93" i="6" s="1"/>
  <c r="H94" i="6"/>
  <c r="H95" i="6"/>
  <c r="H96" i="6"/>
  <c r="H97" i="6"/>
  <c r="I97" i="6" s="1"/>
  <c r="H98" i="6"/>
  <c r="H99" i="6"/>
  <c r="I99" i="6" s="1"/>
  <c r="H100" i="6"/>
  <c r="I100" i="6" s="1"/>
  <c r="M100" i="6" s="1"/>
  <c r="H101" i="6"/>
  <c r="I101" i="6" s="1"/>
  <c r="H102" i="6"/>
  <c r="H103" i="6"/>
  <c r="H104" i="6"/>
  <c r="H105" i="6"/>
  <c r="I105" i="6" s="1"/>
  <c r="H106" i="6"/>
  <c r="H107" i="6"/>
  <c r="I107" i="6" s="1"/>
  <c r="H108" i="6"/>
  <c r="I108" i="6" s="1"/>
  <c r="H109" i="6"/>
  <c r="I109" i="6" s="1"/>
  <c r="L109" i="6" s="1"/>
  <c r="H110" i="6"/>
  <c r="H111" i="6"/>
  <c r="H112" i="6"/>
  <c r="H113" i="6"/>
  <c r="I113" i="6" s="1"/>
  <c r="H114" i="6"/>
  <c r="H115" i="6"/>
  <c r="I115" i="6" s="1"/>
  <c r="L115" i="6" s="1"/>
  <c r="H116" i="6"/>
  <c r="I116" i="6" s="1"/>
  <c r="H117" i="6"/>
  <c r="I117" i="6" s="1"/>
  <c r="K117" i="6" s="1"/>
  <c r="H118" i="6"/>
  <c r="H119" i="6"/>
  <c r="H120" i="6"/>
  <c r="H121" i="6"/>
  <c r="I121" i="6" s="1"/>
  <c r="H122" i="6"/>
  <c r="H123" i="6"/>
  <c r="I123" i="6" s="1"/>
  <c r="K123" i="6" s="1"/>
  <c r="H124" i="6"/>
  <c r="I124" i="6" s="1"/>
  <c r="H125" i="6"/>
  <c r="I125" i="6" s="1"/>
  <c r="L125" i="6" s="1"/>
  <c r="H126" i="6"/>
  <c r="H127" i="6"/>
  <c r="H128" i="6"/>
  <c r="H129" i="6"/>
  <c r="I129" i="6" s="1"/>
  <c r="H130" i="6"/>
  <c r="H131" i="6"/>
  <c r="I131" i="6" s="1"/>
  <c r="H132" i="6"/>
  <c r="I132" i="6" s="1"/>
  <c r="H133" i="6"/>
  <c r="I133" i="6" s="1"/>
  <c r="I6" i="6"/>
  <c r="I10" i="6"/>
  <c r="I14" i="6"/>
  <c r="L14" i="6" s="1"/>
  <c r="I22" i="6"/>
  <c r="L22" i="6" s="1"/>
  <c r="I23" i="6"/>
  <c r="I24" i="6"/>
  <c r="I26" i="6"/>
  <c r="I30" i="6"/>
  <c r="I31" i="6"/>
  <c r="I32" i="6"/>
  <c r="I34" i="6"/>
  <c r="I38" i="6"/>
  <c r="I39" i="6"/>
  <c r="I40" i="6"/>
  <c r="I42" i="6"/>
  <c r="I46" i="6"/>
  <c r="I47" i="6"/>
  <c r="I48" i="6"/>
  <c r="I50" i="6"/>
  <c r="I54" i="6"/>
  <c r="I55" i="6"/>
  <c r="I56" i="6"/>
  <c r="I58" i="6"/>
  <c r="I62" i="6"/>
  <c r="I63" i="6"/>
  <c r="I64" i="6"/>
  <c r="I66" i="6"/>
  <c r="I70" i="6"/>
  <c r="I71" i="6"/>
  <c r="I72" i="6"/>
  <c r="I74" i="6"/>
  <c r="I78" i="6"/>
  <c r="I79" i="6"/>
  <c r="I80" i="6"/>
  <c r="N80" i="6" s="1"/>
  <c r="I82" i="6"/>
  <c r="I86" i="6"/>
  <c r="M86" i="6" s="1"/>
  <c r="I87" i="6"/>
  <c r="I88" i="6"/>
  <c r="I90" i="6"/>
  <c r="I94" i="6"/>
  <c r="M94" i="6" s="1"/>
  <c r="I95" i="6"/>
  <c r="I96" i="6"/>
  <c r="I98" i="6"/>
  <c r="I102" i="6"/>
  <c r="I103" i="6"/>
  <c r="I104" i="6"/>
  <c r="I106" i="6"/>
  <c r="I110" i="6"/>
  <c r="I111" i="6"/>
  <c r="I112" i="6"/>
  <c r="I114" i="6"/>
  <c r="I118" i="6"/>
  <c r="I119" i="6"/>
  <c r="I120" i="6"/>
  <c r="I122" i="6"/>
  <c r="I126" i="6"/>
  <c r="I127" i="6"/>
  <c r="I128" i="6"/>
  <c r="I130" i="6"/>
  <c r="H2" i="6"/>
  <c r="J31" i="6"/>
  <c r="M87" i="6"/>
  <c r="M95" i="6"/>
  <c r="E133" i="6"/>
  <c r="E132" i="6"/>
  <c r="E131" i="6"/>
  <c r="E130" i="6"/>
  <c r="E129" i="6"/>
  <c r="E128" i="6"/>
  <c r="E126" i="6"/>
  <c r="E125" i="6"/>
  <c r="E124" i="6"/>
  <c r="E123" i="6"/>
  <c r="E122" i="6"/>
  <c r="E121" i="6"/>
  <c r="E120" i="6"/>
  <c r="E119" i="6"/>
  <c r="E118" i="6"/>
  <c r="E117" i="6"/>
  <c r="E116" i="6"/>
  <c r="E115" i="6"/>
  <c r="E114" i="6"/>
  <c r="E113" i="6"/>
  <c r="E112" i="6"/>
  <c r="E111" i="6"/>
  <c r="E110" i="6"/>
  <c r="E109" i="6"/>
  <c r="E107" i="6"/>
  <c r="E106" i="6"/>
  <c r="E105" i="6"/>
  <c r="E104" i="6"/>
  <c r="M103" i="6"/>
  <c r="E103" i="6"/>
  <c r="M102" i="6"/>
  <c r="E102" i="6"/>
  <c r="E101" i="6"/>
  <c r="E100" i="6"/>
  <c r="E99" i="6"/>
  <c r="E98" i="6"/>
  <c r="E97" i="6"/>
  <c r="E96" i="6"/>
  <c r="E95" i="6"/>
  <c r="E94" i="6"/>
  <c r="E93" i="6"/>
  <c r="E92" i="6"/>
  <c r="E91" i="6"/>
  <c r="E90" i="6"/>
  <c r="E89" i="6"/>
  <c r="E88" i="6"/>
  <c r="E87" i="6"/>
  <c r="E86" i="6"/>
  <c r="E85" i="6"/>
  <c r="E84" i="6"/>
  <c r="E83" i="6"/>
  <c r="E81" i="6"/>
  <c r="E80" i="6"/>
  <c r="M79" i="6"/>
  <c r="E79" i="6"/>
  <c r="E77" i="6"/>
  <c r="E76" i="6"/>
  <c r="E75" i="6"/>
  <c r="E74" i="6"/>
  <c r="E73" i="6"/>
  <c r="E71" i="6"/>
  <c r="E70" i="6"/>
  <c r="E69" i="6"/>
  <c r="E68" i="6"/>
  <c r="E67" i="6"/>
  <c r="E66" i="6"/>
  <c r="E65" i="6"/>
  <c r="E63" i="6"/>
  <c r="E62" i="6"/>
  <c r="E61" i="6"/>
  <c r="E60" i="6"/>
  <c r="E59" i="6"/>
  <c r="E58" i="6"/>
  <c r="E57" i="6"/>
  <c r="E56" i="6"/>
  <c r="E55" i="6"/>
  <c r="E54" i="6"/>
  <c r="E53" i="6"/>
  <c r="E52" i="6"/>
  <c r="E51" i="6"/>
  <c r="E45" i="6"/>
  <c r="E44" i="6"/>
  <c r="E43" i="6"/>
  <c r="E42" i="6"/>
  <c r="E41" i="6"/>
  <c r="E39" i="6"/>
  <c r="N39" i="6" s="1"/>
  <c r="E38" i="6"/>
  <c r="E37" i="6"/>
  <c r="E36" i="6"/>
  <c r="E35" i="6"/>
  <c r="E34" i="6"/>
  <c r="E33" i="6"/>
  <c r="E32" i="6"/>
  <c r="E31" i="6"/>
  <c r="E29" i="6"/>
  <c r="E28" i="6"/>
  <c r="E26" i="6"/>
  <c r="E25" i="6"/>
  <c r="N23" i="6"/>
  <c r="E23" i="6"/>
  <c r="E22" i="6"/>
  <c r="E21" i="6"/>
  <c r="E20" i="6"/>
  <c r="E19" i="6"/>
  <c r="E18" i="6"/>
  <c r="E17" i="6"/>
  <c r="E16" i="6"/>
  <c r="E15" i="6"/>
  <c r="E14" i="6"/>
  <c r="E13" i="6"/>
  <c r="E12" i="6"/>
  <c r="E11" i="6"/>
  <c r="E10" i="6"/>
  <c r="E9" i="6"/>
  <c r="E8" i="6"/>
  <c r="E7" i="6"/>
  <c r="E6" i="6"/>
  <c r="E5" i="6"/>
  <c r="E4" i="6"/>
  <c r="E3" i="6"/>
  <c r="I2" i="6"/>
  <c r="N2" i="6" s="1"/>
  <c r="E2" i="6"/>
  <c r="D168" i="2" l="1"/>
  <c r="K68" i="11" s="1"/>
  <c r="L68" i="11" s="1"/>
  <c r="M68" i="11" s="1"/>
  <c r="R68" i="11" s="1"/>
  <c r="H7" i="11"/>
  <c r="I7" i="11"/>
  <c r="J7" i="11"/>
  <c r="G122" i="11"/>
  <c r="H122" i="11"/>
  <c r="J122" i="11"/>
  <c r="I122" i="11"/>
  <c r="F122" i="11"/>
  <c r="J103" i="11"/>
  <c r="F103" i="11"/>
  <c r="I103" i="11"/>
  <c r="G103" i="11"/>
  <c r="H103" i="11"/>
  <c r="J73" i="11"/>
  <c r="I73" i="11"/>
  <c r="G73" i="11"/>
  <c r="F73" i="11"/>
  <c r="H73" i="11"/>
  <c r="G134" i="11"/>
  <c r="F134" i="11"/>
  <c r="I134" i="11"/>
  <c r="H134" i="11"/>
  <c r="J134" i="11"/>
  <c r="Q124" i="11"/>
  <c r="R124" i="11" s="1"/>
  <c r="H49" i="11"/>
  <c r="I49" i="11"/>
  <c r="J49" i="11"/>
  <c r="F49" i="11"/>
  <c r="G49" i="11"/>
  <c r="S123" i="11"/>
  <c r="D123" i="11" s="1"/>
  <c r="E123" i="11" s="1"/>
  <c r="S8" i="11"/>
  <c r="D8" i="11" s="1"/>
  <c r="E8" i="11" s="1"/>
  <c r="Q136" i="11"/>
  <c r="R136" i="11" s="1"/>
  <c r="S89" i="11"/>
  <c r="D89" i="11" s="1"/>
  <c r="E89" i="11" s="1"/>
  <c r="F110" i="11"/>
  <c r="H110" i="11"/>
  <c r="I110" i="11"/>
  <c r="J110" i="11"/>
  <c r="G110" i="11"/>
  <c r="Q90" i="11"/>
  <c r="R90" i="11" s="1"/>
  <c r="S90" i="11" s="1"/>
  <c r="D135" i="11"/>
  <c r="F7" i="11"/>
  <c r="Q35" i="11"/>
  <c r="R35" i="11" s="1"/>
  <c r="G7" i="11"/>
  <c r="S34" i="11"/>
  <c r="D34" i="11" s="1"/>
  <c r="E34" i="11" s="1"/>
  <c r="S111" i="11"/>
  <c r="D111" i="11" s="1"/>
  <c r="E111" i="11" s="1"/>
  <c r="I33" i="11"/>
  <c r="G33" i="11"/>
  <c r="H33" i="11"/>
  <c r="F33" i="11"/>
  <c r="J33" i="11"/>
  <c r="Q51" i="11"/>
  <c r="R51" i="11" s="1"/>
  <c r="H88" i="11"/>
  <c r="I88" i="11"/>
  <c r="F88" i="11"/>
  <c r="G88" i="11"/>
  <c r="J88" i="11"/>
  <c r="P137" i="11"/>
  <c r="P75" i="11"/>
  <c r="Q75" i="11" s="1"/>
  <c r="P125" i="11"/>
  <c r="P10" i="11"/>
  <c r="Q10" i="11" s="1"/>
  <c r="P52" i="11"/>
  <c r="Q52" i="11" s="1"/>
  <c r="R9" i="11"/>
  <c r="P36" i="11"/>
  <c r="P91" i="11"/>
  <c r="Q91" i="11" s="1"/>
  <c r="B71" i="2"/>
  <c r="B72" i="2"/>
  <c r="D41" i="2"/>
  <c r="D45" i="2"/>
  <c r="D56" i="2"/>
  <c r="D10" i="2"/>
  <c r="D105" i="2"/>
  <c r="D101" i="2"/>
  <c r="L101" i="6"/>
  <c r="M101" i="6"/>
  <c r="M93" i="6"/>
  <c r="L93" i="6"/>
  <c r="L85" i="6"/>
  <c r="M85" i="6"/>
  <c r="N37" i="6"/>
  <c r="K37" i="6"/>
  <c r="K132" i="6"/>
  <c r="J132" i="6"/>
  <c r="L20" i="6"/>
  <c r="N20" i="6"/>
  <c r="N12" i="6"/>
  <c r="L12" i="6"/>
  <c r="M22" i="6"/>
  <c r="J43" i="6"/>
  <c r="N14" i="6"/>
  <c r="J45" i="6"/>
  <c r="N75" i="6"/>
  <c r="K76" i="6"/>
  <c r="N38" i="6"/>
  <c r="L68" i="6"/>
  <c r="L69" i="6"/>
  <c r="K133" i="6"/>
  <c r="K129" i="6"/>
  <c r="K131" i="6"/>
  <c r="N81" i="6"/>
  <c r="M6" i="6"/>
  <c r="L6" i="6"/>
  <c r="L4" i="6"/>
  <c r="M98" i="6"/>
  <c r="L98" i="6"/>
  <c r="M10" i="6"/>
  <c r="L10" i="6"/>
  <c r="K10" i="6"/>
  <c r="L113" i="6"/>
  <c r="K113" i="6"/>
  <c r="M16" i="6"/>
  <c r="L16" i="6"/>
  <c r="K16" i="6"/>
  <c r="K119" i="6"/>
  <c r="L119" i="6"/>
  <c r="M90" i="6"/>
  <c r="L90" i="6"/>
  <c r="N8" i="6"/>
  <c r="L8" i="6"/>
  <c r="K8" i="6"/>
  <c r="K111" i="6"/>
  <c r="L111" i="6"/>
  <c r="L121" i="6"/>
  <c r="K121" i="6"/>
  <c r="L106" i="6"/>
  <c r="M106" i="6"/>
  <c r="N18" i="6"/>
  <c r="L18" i="6"/>
  <c r="K18" i="6"/>
  <c r="K32" i="6"/>
  <c r="N32" i="6"/>
  <c r="K5" i="6"/>
  <c r="K13" i="6"/>
  <c r="K19" i="6"/>
  <c r="K109" i="6"/>
  <c r="K125" i="6"/>
  <c r="L3" i="6"/>
  <c r="L11" i="6"/>
  <c r="L17" i="6"/>
  <c r="L23" i="6"/>
  <c r="K39" i="6"/>
  <c r="L100" i="6"/>
  <c r="L117" i="6"/>
  <c r="M43" i="6"/>
  <c r="M80" i="6"/>
  <c r="L92" i="6"/>
  <c r="K115" i="6"/>
  <c r="N41" i="6"/>
  <c r="N43" i="6"/>
  <c r="N66" i="6"/>
  <c r="N76" i="6"/>
  <c r="L84" i="6"/>
  <c r="L123" i="6"/>
  <c r="K3" i="6"/>
  <c r="K11" i="6"/>
  <c r="K15" i="6"/>
  <c r="K23" i="6"/>
  <c r="L5" i="6"/>
  <c r="L9" i="6"/>
  <c r="L15" i="6"/>
  <c r="L21" i="6"/>
  <c r="K4" i="6"/>
  <c r="K6" i="6"/>
  <c r="K12" i="6"/>
  <c r="K14" i="6"/>
  <c r="K20" i="6"/>
  <c r="K22" i="6"/>
  <c r="K7" i="6"/>
  <c r="K17" i="6"/>
  <c r="L7" i="6"/>
  <c r="L19" i="6"/>
  <c r="L42" i="6"/>
  <c r="K9" i="6"/>
  <c r="K21" i="6"/>
  <c r="L13" i="6"/>
  <c r="N73" i="6"/>
  <c r="K2" i="6"/>
  <c r="L2" i="6"/>
  <c r="L55" i="6"/>
  <c r="K55" i="6"/>
  <c r="J55" i="6"/>
  <c r="N55" i="6"/>
  <c r="M55" i="6"/>
  <c r="J35" i="6"/>
  <c r="M35" i="6"/>
  <c r="L35" i="6"/>
  <c r="N35" i="6"/>
  <c r="K35" i="6"/>
  <c r="J36" i="6"/>
  <c r="M36" i="6"/>
  <c r="L36" i="6"/>
  <c r="N36" i="6"/>
  <c r="K36" i="6"/>
  <c r="N26" i="6"/>
  <c r="J26" i="6"/>
  <c r="M26" i="6"/>
  <c r="L26" i="6"/>
  <c r="K26" i="6"/>
  <c r="J33" i="6"/>
  <c r="M33" i="6"/>
  <c r="L33" i="6"/>
  <c r="N33" i="6"/>
  <c r="K33" i="6"/>
  <c r="L59" i="6"/>
  <c r="K59" i="6"/>
  <c r="J59" i="6"/>
  <c r="N59" i="6"/>
  <c r="M59" i="6"/>
  <c r="N25" i="6"/>
  <c r="L25" i="6"/>
  <c r="K25" i="6"/>
  <c r="M25" i="6"/>
  <c r="J25" i="6"/>
  <c r="L53" i="6"/>
  <c r="K53" i="6"/>
  <c r="J53" i="6"/>
  <c r="N53" i="6"/>
  <c r="M53" i="6"/>
  <c r="L63" i="6"/>
  <c r="K63" i="6"/>
  <c r="J63" i="6"/>
  <c r="N63" i="6"/>
  <c r="M63" i="6"/>
  <c r="L61" i="6"/>
  <c r="K61" i="6"/>
  <c r="J61" i="6"/>
  <c r="N61" i="6"/>
  <c r="M61" i="6"/>
  <c r="L57" i="6"/>
  <c r="K57" i="6"/>
  <c r="J57" i="6"/>
  <c r="N57" i="6"/>
  <c r="M57" i="6"/>
  <c r="L51" i="6"/>
  <c r="K51" i="6"/>
  <c r="J51" i="6"/>
  <c r="N51" i="6"/>
  <c r="M51" i="6"/>
  <c r="J34" i="6"/>
  <c r="M34" i="6"/>
  <c r="L34" i="6"/>
  <c r="L44" i="6"/>
  <c r="K44" i="6"/>
  <c r="L45" i="6"/>
  <c r="K45" i="6"/>
  <c r="L52" i="6"/>
  <c r="K52" i="6"/>
  <c r="J52" i="6"/>
  <c r="N52" i="6"/>
  <c r="L54" i="6"/>
  <c r="K54" i="6"/>
  <c r="J54" i="6"/>
  <c r="N54" i="6"/>
  <c r="L56" i="6"/>
  <c r="K56" i="6"/>
  <c r="J56" i="6"/>
  <c r="N56" i="6"/>
  <c r="L58" i="6"/>
  <c r="K58" i="6"/>
  <c r="J58" i="6"/>
  <c r="N58" i="6"/>
  <c r="L60" i="6"/>
  <c r="K60" i="6"/>
  <c r="J60" i="6"/>
  <c r="N60" i="6"/>
  <c r="L62" i="6"/>
  <c r="K62" i="6"/>
  <c r="J62" i="6"/>
  <c r="N62" i="6"/>
  <c r="K68" i="6"/>
  <c r="J68" i="6"/>
  <c r="N68" i="6"/>
  <c r="M68" i="6"/>
  <c r="L80" i="6"/>
  <c r="K80" i="6"/>
  <c r="N87" i="6"/>
  <c r="K87" i="6"/>
  <c r="J87" i="6"/>
  <c r="N95" i="6"/>
  <c r="K95" i="6"/>
  <c r="J95" i="6"/>
  <c r="N103" i="6"/>
  <c r="K103" i="6"/>
  <c r="J103" i="6"/>
  <c r="J2" i="6"/>
  <c r="J3" i="6"/>
  <c r="J4" i="6"/>
  <c r="J5" i="6"/>
  <c r="J6" i="6"/>
  <c r="J7" i="6"/>
  <c r="J8" i="6"/>
  <c r="J9" i="6"/>
  <c r="J10" i="6"/>
  <c r="J11" i="6"/>
  <c r="J12" i="6"/>
  <c r="J13" i="6"/>
  <c r="J14" i="6"/>
  <c r="J15" i="6"/>
  <c r="J16" i="6"/>
  <c r="J17" i="6"/>
  <c r="J18" i="6"/>
  <c r="J19" i="6"/>
  <c r="J20" i="6"/>
  <c r="J21" i="6"/>
  <c r="J22" i="6"/>
  <c r="J23" i="6"/>
  <c r="K42" i="6"/>
  <c r="M52" i="6"/>
  <c r="M54" i="6"/>
  <c r="M56" i="6"/>
  <c r="M58" i="6"/>
  <c r="M60" i="6"/>
  <c r="M62" i="6"/>
  <c r="J74" i="6"/>
  <c r="M74" i="6"/>
  <c r="L74" i="6"/>
  <c r="J76" i="6"/>
  <c r="M76" i="6"/>
  <c r="L76" i="6"/>
  <c r="J80" i="6"/>
  <c r="N84" i="6"/>
  <c r="K84" i="6"/>
  <c r="J84" i="6"/>
  <c r="L87" i="6"/>
  <c r="N92" i="6"/>
  <c r="K92" i="6"/>
  <c r="J92" i="6"/>
  <c r="L95" i="6"/>
  <c r="N100" i="6"/>
  <c r="K100" i="6"/>
  <c r="J100" i="6"/>
  <c r="L103" i="6"/>
  <c r="N109" i="6"/>
  <c r="M109" i="6"/>
  <c r="J109" i="6"/>
  <c r="N111" i="6"/>
  <c r="M111" i="6"/>
  <c r="J111" i="6"/>
  <c r="N113" i="6"/>
  <c r="M113" i="6"/>
  <c r="J113" i="6"/>
  <c r="N115" i="6"/>
  <c r="M115" i="6"/>
  <c r="J115" i="6"/>
  <c r="N117" i="6"/>
  <c r="M117" i="6"/>
  <c r="J117" i="6"/>
  <c r="N119" i="6"/>
  <c r="M119" i="6"/>
  <c r="J119" i="6"/>
  <c r="N121" i="6"/>
  <c r="M121" i="6"/>
  <c r="J121" i="6"/>
  <c r="N123" i="6"/>
  <c r="M123" i="6"/>
  <c r="J123" i="6"/>
  <c r="N125" i="6"/>
  <c r="M125" i="6"/>
  <c r="J125" i="6"/>
  <c r="N128" i="6"/>
  <c r="M128" i="6"/>
  <c r="L128" i="6"/>
  <c r="N130" i="6"/>
  <c r="M130" i="6"/>
  <c r="L130" i="6"/>
  <c r="N132" i="6"/>
  <c r="M132" i="6"/>
  <c r="L132" i="6"/>
  <c r="K66" i="6"/>
  <c r="J66" i="6"/>
  <c r="N97" i="6"/>
  <c r="K97" i="6"/>
  <c r="J97" i="6"/>
  <c r="N105" i="6"/>
  <c r="K105" i="6"/>
  <c r="J105" i="6"/>
  <c r="K34" i="6"/>
  <c r="M7" i="6"/>
  <c r="J28" i="6"/>
  <c r="L105" i="6"/>
  <c r="M2" i="6"/>
  <c r="M5" i="6"/>
  <c r="M8" i="6"/>
  <c r="M11" i="6"/>
  <c r="M14" i="6"/>
  <c r="M17" i="6"/>
  <c r="M20" i="6"/>
  <c r="M23" i="6"/>
  <c r="K31" i="6"/>
  <c r="N45" i="6"/>
  <c r="L66" i="6"/>
  <c r="J79" i="6"/>
  <c r="N83" i="6"/>
  <c r="K83" i="6"/>
  <c r="J83" i="6"/>
  <c r="N91" i="6"/>
  <c r="K91" i="6"/>
  <c r="J91" i="6"/>
  <c r="L94" i="6"/>
  <c r="M97" i="6"/>
  <c r="N99" i="6"/>
  <c r="K99" i="6"/>
  <c r="J99" i="6"/>
  <c r="L102" i="6"/>
  <c r="M105" i="6"/>
  <c r="N107" i="6"/>
  <c r="K107" i="6"/>
  <c r="J107" i="6"/>
  <c r="N4" i="6"/>
  <c r="N6" i="6"/>
  <c r="N10" i="6"/>
  <c r="N13" i="6"/>
  <c r="N15" i="6"/>
  <c r="N16" i="6"/>
  <c r="N19" i="6"/>
  <c r="N21" i="6"/>
  <c r="N22" i="6"/>
  <c r="L28" i="6"/>
  <c r="L29" i="6"/>
  <c r="N31" i="6"/>
  <c r="K38" i="6"/>
  <c r="J44" i="6"/>
  <c r="K67" i="6"/>
  <c r="J67" i="6"/>
  <c r="N67" i="6"/>
  <c r="M67" i="6"/>
  <c r="J73" i="6"/>
  <c r="M73" i="6"/>
  <c r="L73" i="6"/>
  <c r="J75" i="6"/>
  <c r="M75" i="6"/>
  <c r="L75" i="6"/>
  <c r="J77" i="6"/>
  <c r="M77" i="6"/>
  <c r="L77" i="6"/>
  <c r="L81" i="6"/>
  <c r="K81" i="6"/>
  <c r="L83" i="6"/>
  <c r="N88" i="6"/>
  <c r="K88" i="6"/>
  <c r="J88" i="6"/>
  <c r="L91" i="6"/>
  <c r="N96" i="6"/>
  <c r="K96" i="6"/>
  <c r="J96" i="6"/>
  <c r="L99" i="6"/>
  <c r="N104" i="6"/>
  <c r="K104" i="6"/>
  <c r="J104" i="6"/>
  <c r="L107" i="6"/>
  <c r="N110" i="6"/>
  <c r="M110" i="6"/>
  <c r="J110" i="6"/>
  <c r="N112" i="6"/>
  <c r="M112" i="6"/>
  <c r="J112" i="6"/>
  <c r="N114" i="6"/>
  <c r="M114" i="6"/>
  <c r="J114" i="6"/>
  <c r="N116" i="6"/>
  <c r="M116" i="6"/>
  <c r="J116" i="6"/>
  <c r="N118" i="6"/>
  <c r="M118" i="6"/>
  <c r="J118" i="6"/>
  <c r="N120" i="6"/>
  <c r="M120" i="6"/>
  <c r="J120" i="6"/>
  <c r="N122" i="6"/>
  <c r="M122" i="6"/>
  <c r="J122" i="6"/>
  <c r="N124" i="6"/>
  <c r="M124" i="6"/>
  <c r="J124" i="6"/>
  <c r="N126" i="6"/>
  <c r="M126" i="6"/>
  <c r="J126" i="6"/>
  <c r="N129" i="6"/>
  <c r="M129" i="6"/>
  <c r="L129" i="6"/>
  <c r="N131" i="6"/>
  <c r="M131" i="6"/>
  <c r="L131" i="6"/>
  <c r="N133" i="6"/>
  <c r="M133" i="6"/>
  <c r="L133" i="6"/>
  <c r="N89" i="6"/>
  <c r="K89" i="6"/>
  <c r="J89" i="6"/>
  <c r="K69" i="6"/>
  <c r="J69" i="6"/>
  <c r="N69" i="6"/>
  <c r="M69" i="6"/>
  <c r="L79" i="6"/>
  <c r="K79" i="6"/>
  <c r="N86" i="6"/>
  <c r="K86" i="6"/>
  <c r="J86" i="6"/>
  <c r="L89" i="6"/>
  <c r="L97" i="6"/>
  <c r="N102" i="6"/>
  <c r="K102" i="6"/>
  <c r="J102" i="6"/>
  <c r="M9" i="6"/>
  <c r="M12" i="6"/>
  <c r="M18" i="6"/>
  <c r="K29" i="6"/>
  <c r="N34" i="6"/>
  <c r="L41" i="6"/>
  <c r="K41" i="6"/>
  <c r="M89" i="6"/>
  <c r="M28" i="6"/>
  <c r="M29" i="6"/>
  <c r="L43" i="6"/>
  <c r="K43" i="6"/>
  <c r="M44" i="6"/>
  <c r="N79" i="6"/>
  <c r="J81" i="6"/>
  <c r="M83" i="6"/>
  <c r="N85" i="6"/>
  <c r="K85" i="6"/>
  <c r="J85" i="6"/>
  <c r="L88" i="6"/>
  <c r="M91" i="6"/>
  <c r="N93" i="6"/>
  <c r="K93" i="6"/>
  <c r="J93" i="6"/>
  <c r="L96" i="6"/>
  <c r="M99" i="6"/>
  <c r="N101" i="6"/>
  <c r="K101" i="6"/>
  <c r="J101" i="6"/>
  <c r="L104" i="6"/>
  <c r="M107" i="6"/>
  <c r="K110" i="6"/>
  <c r="K112" i="6"/>
  <c r="K114" i="6"/>
  <c r="K116" i="6"/>
  <c r="K118" i="6"/>
  <c r="K120" i="6"/>
  <c r="K122" i="6"/>
  <c r="K124" i="6"/>
  <c r="K126" i="6"/>
  <c r="J29" i="6"/>
  <c r="N94" i="6"/>
  <c r="K94" i="6"/>
  <c r="J94" i="6"/>
  <c r="M3" i="6"/>
  <c r="K28" i="6"/>
  <c r="L86" i="6"/>
  <c r="J37" i="6"/>
  <c r="M37" i="6"/>
  <c r="L37" i="6"/>
  <c r="J39" i="6"/>
  <c r="M39" i="6"/>
  <c r="L39" i="6"/>
  <c r="M41" i="6"/>
  <c r="N44" i="6"/>
  <c r="L67" i="6"/>
  <c r="K73" i="6"/>
  <c r="K75" i="6"/>
  <c r="K77" i="6"/>
  <c r="M81" i="6"/>
  <c r="M88" i="6"/>
  <c r="N90" i="6"/>
  <c r="K90" i="6"/>
  <c r="J90" i="6"/>
  <c r="M96" i="6"/>
  <c r="N98" i="6"/>
  <c r="K98" i="6"/>
  <c r="J98" i="6"/>
  <c r="M104" i="6"/>
  <c r="N106" i="6"/>
  <c r="K106" i="6"/>
  <c r="J106" i="6"/>
  <c r="L110" i="6"/>
  <c r="L112" i="6"/>
  <c r="L114" i="6"/>
  <c r="L116" i="6"/>
  <c r="L118" i="6"/>
  <c r="L120" i="6"/>
  <c r="L122" i="6"/>
  <c r="L124" i="6"/>
  <c r="L126" i="6"/>
  <c r="J129" i="6"/>
  <c r="J131" i="6"/>
  <c r="J133" i="6"/>
  <c r="M31" i="6"/>
  <c r="L31" i="6"/>
  <c r="J38" i="6"/>
  <c r="M38" i="6"/>
  <c r="L38" i="6"/>
  <c r="J32" i="6"/>
  <c r="M32" i="6"/>
  <c r="L32" i="6"/>
  <c r="I135" i="11" l="1"/>
  <c r="E135" i="11"/>
  <c r="S68" i="11"/>
  <c r="D68" i="11" s="1"/>
  <c r="E68" i="11" s="1"/>
  <c r="J135" i="11"/>
  <c r="G8" i="11"/>
  <c r="I8" i="11"/>
  <c r="H8" i="11"/>
  <c r="F8" i="11"/>
  <c r="J8" i="11"/>
  <c r="H135" i="11"/>
  <c r="F135" i="11"/>
  <c r="F123" i="11"/>
  <c r="J123" i="11"/>
  <c r="G123" i="11"/>
  <c r="H123" i="11"/>
  <c r="I123" i="11"/>
  <c r="F89" i="11"/>
  <c r="J89" i="11"/>
  <c r="H89" i="11"/>
  <c r="G89" i="11"/>
  <c r="I89" i="11"/>
  <c r="S136" i="11"/>
  <c r="D136" i="11" s="1"/>
  <c r="E136" i="11" s="1"/>
  <c r="I111" i="11"/>
  <c r="H111" i="11"/>
  <c r="F111" i="11"/>
  <c r="G111" i="11"/>
  <c r="J111" i="11"/>
  <c r="I34" i="11"/>
  <c r="F34" i="11"/>
  <c r="J34" i="11"/>
  <c r="G34" i="11"/>
  <c r="H34" i="11"/>
  <c r="Q125" i="11"/>
  <c r="R125" i="11" s="1"/>
  <c r="G135" i="11"/>
  <c r="Q137" i="11"/>
  <c r="R137" i="11" s="1"/>
  <c r="S51" i="11"/>
  <c r="D51" i="11" s="1"/>
  <c r="E51" i="11" s="1"/>
  <c r="D90" i="11"/>
  <c r="Q36" i="11"/>
  <c r="R36" i="11" s="1"/>
  <c r="S9" i="11"/>
  <c r="D9" i="11" s="1"/>
  <c r="E9" i="11" s="1"/>
  <c r="S35" i="11"/>
  <c r="D35" i="11" s="1"/>
  <c r="E35" i="11" s="1"/>
  <c r="S124" i="11"/>
  <c r="D124" i="11" s="1"/>
  <c r="E124" i="11" s="1"/>
  <c r="P37" i="11"/>
  <c r="P92" i="11"/>
  <c r="Q92" i="11" s="1"/>
  <c r="R10" i="11"/>
  <c r="P11" i="11"/>
  <c r="P12" i="11" s="1"/>
  <c r="Q12" i="11" s="1"/>
  <c r="P76" i="11"/>
  <c r="P126" i="11"/>
  <c r="P53" i="11"/>
  <c r="Q53" i="11" s="1"/>
  <c r="K95" i="11"/>
  <c r="K20" i="11"/>
  <c r="L20" i="11" s="1"/>
  <c r="M20" i="11" s="1"/>
  <c r="K92" i="11"/>
  <c r="K19" i="11"/>
  <c r="L19" i="11" s="1"/>
  <c r="M19" i="11" s="1"/>
  <c r="K91" i="11"/>
  <c r="K4" i="11"/>
  <c r="K3" i="11"/>
  <c r="L3" i="11" s="1"/>
  <c r="M3" i="11" s="1"/>
  <c r="R3" i="11" s="1"/>
  <c r="S3" i="11" s="1"/>
  <c r="K2" i="11"/>
  <c r="J42" i="6"/>
  <c r="M42" i="6"/>
  <c r="N42" i="6"/>
  <c r="J41" i="6"/>
  <c r="K128" i="6"/>
  <c r="J128" i="6"/>
  <c r="K130" i="6"/>
  <c r="J130" i="6"/>
  <c r="M66" i="6"/>
  <c r="N74" i="6"/>
  <c r="K74" i="6"/>
  <c r="K65" i="6"/>
  <c r="J65" i="6"/>
  <c r="N65" i="6"/>
  <c r="M65" i="6"/>
  <c r="L65" i="6"/>
  <c r="K70" i="6"/>
  <c r="J70" i="6"/>
  <c r="N70" i="6"/>
  <c r="M70" i="6"/>
  <c r="L70" i="6"/>
  <c r="K71" i="6"/>
  <c r="J71" i="6"/>
  <c r="N71" i="6"/>
  <c r="M71" i="6"/>
  <c r="L71" i="6"/>
  <c r="F90" i="11" l="1"/>
  <c r="E90" i="11"/>
  <c r="H68" i="11"/>
  <c r="G68" i="11"/>
  <c r="J68" i="11"/>
  <c r="F68" i="11"/>
  <c r="I68" i="11"/>
  <c r="J90" i="11"/>
  <c r="G90" i="11"/>
  <c r="H90" i="11"/>
  <c r="I90" i="11"/>
  <c r="I9" i="11"/>
  <c r="J9" i="11"/>
  <c r="H9" i="11"/>
  <c r="G9" i="11"/>
  <c r="F9" i="11"/>
  <c r="G35" i="11"/>
  <c r="H35" i="11"/>
  <c r="I35" i="11"/>
  <c r="J35" i="11"/>
  <c r="F35" i="11"/>
  <c r="J51" i="11"/>
  <c r="F51" i="11"/>
  <c r="I51" i="11"/>
  <c r="G51" i="11"/>
  <c r="H51" i="11"/>
  <c r="S137" i="11"/>
  <c r="D137" i="11" s="1"/>
  <c r="E137" i="11" s="1"/>
  <c r="I136" i="11"/>
  <c r="G136" i="11"/>
  <c r="F136" i="11"/>
  <c r="H136" i="11"/>
  <c r="J136" i="11"/>
  <c r="Q37" i="11"/>
  <c r="R37" i="11" s="1"/>
  <c r="S36" i="11"/>
  <c r="D36" i="11" s="1"/>
  <c r="E36" i="11" s="1"/>
  <c r="Q126" i="11"/>
  <c r="R126" i="11" s="1"/>
  <c r="Q76" i="11"/>
  <c r="R76" i="11" s="1"/>
  <c r="S125" i="11"/>
  <c r="D125" i="11" s="1"/>
  <c r="E125" i="11" s="1"/>
  <c r="P13" i="11"/>
  <c r="Q13" i="11" s="1"/>
  <c r="R13" i="11" s="1"/>
  <c r="Q11" i="11"/>
  <c r="I124" i="11"/>
  <c r="G124" i="11"/>
  <c r="H124" i="11"/>
  <c r="F124" i="11"/>
  <c r="J124" i="11"/>
  <c r="S10" i="11"/>
  <c r="D10" i="11" s="1"/>
  <c r="E10" i="11" s="1"/>
  <c r="P77" i="11"/>
  <c r="P127" i="11"/>
  <c r="P54" i="11"/>
  <c r="Q54" i="11" s="1"/>
  <c r="P93" i="11"/>
  <c r="P38" i="11"/>
  <c r="L95" i="11"/>
  <c r="M95" i="11" s="1"/>
  <c r="L91" i="11"/>
  <c r="M91" i="11" s="1"/>
  <c r="R91" i="11" s="1"/>
  <c r="S91" i="11" s="1"/>
  <c r="L92" i="11"/>
  <c r="M92" i="11" s="1"/>
  <c r="R92" i="11" s="1"/>
  <c r="S92" i="11" s="1"/>
  <c r="L94" i="11"/>
  <c r="M94" i="11" s="1"/>
  <c r="D3" i="11"/>
  <c r="E3" i="11" s="1"/>
  <c r="L2" i="11"/>
  <c r="M2" i="11" s="1"/>
  <c r="R2" i="11" s="1"/>
  <c r="S2" i="11" s="1"/>
  <c r="L4" i="11"/>
  <c r="M4" i="11" s="1"/>
  <c r="R4" i="11" s="1"/>
  <c r="S4" i="11" s="1"/>
  <c r="B148" i="2"/>
  <c r="D148" i="2" s="1"/>
  <c r="B90" i="2"/>
  <c r="D90" i="2" s="1"/>
  <c r="D94" i="2" s="1"/>
  <c r="K115" i="11" s="1"/>
  <c r="L115" i="11" s="1"/>
  <c r="M115" i="11" s="1"/>
  <c r="R115" i="11" s="1"/>
  <c r="S115" i="11" s="1"/>
  <c r="D115" i="11" s="1"/>
  <c r="E115" i="11" s="1"/>
  <c r="D151" i="2"/>
  <c r="D150" i="2"/>
  <c r="D78" i="2"/>
  <c r="D67" i="2"/>
  <c r="D68" i="2"/>
  <c r="D69" i="2"/>
  <c r="D70" i="2"/>
  <c r="D71" i="2"/>
  <c r="D72" i="2"/>
  <c r="D73" i="2"/>
  <c r="D74" i="2"/>
  <c r="D76" i="2"/>
  <c r="D77" i="2"/>
  <c r="D66" i="2"/>
  <c r="D108" i="2"/>
  <c r="D107" i="2"/>
  <c r="D143" i="2"/>
  <c r="D144" i="2"/>
  <c r="D145" i="2"/>
  <c r="D146" i="2"/>
  <c r="D147" i="2"/>
  <c r="D149" i="2"/>
  <c r="D152" i="2"/>
  <c r="D142" i="2"/>
  <c r="D4" i="2"/>
  <c r="D3" i="2"/>
  <c r="D129" i="2"/>
  <c r="D130" i="2"/>
  <c r="D131" i="2"/>
  <c r="D132" i="2"/>
  <c r="D133" i="2"/>
  <c r="D135" i="2"/>
  <c r="D136" i="2"/>
  <c r="D137" i="2"/>
  <c r="D138" i="2"/>
  <c r="D128" i="2"/>
  <c r="D115" i="2"/>
  <c r="D116" i="2"/>
  <c r="D117" i="2"/>
  <c r="D118" i="2"/>
  <c r="D119" i="2"/>
  <c r="D121" i="2"/>
  <c r="D122" i="2"/>
  <c r="D123" i="2"/>
  <c r="D124" i="2"/>
  <c r="D114" i="2"/>
  <c r="G115" i="11" l="1"/>
  <c r="F115" i="11"/>
  <c r="I115" i="11"/>
  <c r="H115" i="11"/>
  <c r="J115" i="11"/>
  <c r="B75" i="2"/>
  <c r="D75" i="2" s="1"/>
  <c r="D79" i="2" s="1"/>
  <c r="K113" i="11" s="1"/>
  <c r="L113" i="11" s="1"/>
  <c r="M113" i="11" s="1"/>
  <c r="R113" i="11" s="1"/>
  <c r="S113" i="11" s="1"/>
  <c r="D113" i="11" s="1"/>
  <c r="E113" i="11" s="1"/>
  <c r="B264" i="2"/>
  <c r="B271" i="2"/>
  <c r="B237" i="2"/>
  <c r="D237" i="2" s="1"/>
  <c r="D240" i="2" s="1"/>
  <c r="K130" i="11" s="1"/>
  <c r="L130" i="11" s="1"/>
  <c r="M130" i="11" s="1"/>
  <c r="R130" i="11" s="1"/>
  <c r="S130" i="11" s="1"/>
  <c r="D130" i="11" s="1"/>
  <c r="B255" i="2"/>
  <c r="D255" i="2" s="1"/>
  <c r="D258" i="2" s="1"/>
  <c r="K132" i="11" s="1"/>
  <c r="L132" i="11" s="1"/>
  <c r="M132" i="11" s="1"/>
  <c r="R132" i="11" s="1"/>
  <c r="S132" i="11" s="1"/>
  <c r="D132" i="11" s="1"/>
  <c r="E132" i="11" s="1"/>
  <c r="B246" i="2"/>
  <c r="D246" i="2" s="1"/>
  <c r="D249" i="2" s="1"/>
  <c r="K131" i="11" s="1"/>
  <c r="L131" i="11" s="1"/>
  <c r="M131" i="11" s="1"/>
  <c r="R131" i="11" s="1"/>
  <c r="S131" i="11" s="1"/>
  <c r="D131" i="11" s="1"/>
  <c r="E131" i="11" s="1"/>
  <c r="B156" i="2"/>
  <c r="B186" i="2"/>
  <c r="D186" i="2" s="1"/>
  <c r="D198" i="2" s="1"/>
  <c r="K70" i="11" s="1"/>
  <c r="L70" i="11" s="1"/>
  <c r="M70" i="11" s="1"/>
  <c r="R70" i="11" s="1"/>
  <c r="S70" i="11" s="1"/>
  <c r="D70" i="11" s="1"/>
  <c r="E70" i="11" s="1"/>
  <c r="B171" i="2"/>
  <c r="D171" i="2" s="1"/>
  <c r="B201" i="2"/>
  <c r="B216" i="2"/>
  <c r="B35" i="2"/>
  <c r="D35" i="2" s="1"/>
  <c r="D37" i="2" s="1"/>
  <c r="K12" i="11" s="1"/>
  <c r="L12" i="11" s="1"/>
  <c r="M12" i="11" s="1"/>
  <c r="R12" i="11" s="1"/>
  <c r="S12" i="11" s="1"/>
  <c r="D12" i="11" s="1"/>
  <c r="B28" i="2"/>
  <c r="D28" i="2" s="1"/>
  <c r="D30" i="2" s="1"/>
  <c r="K11" i="11" s="1"/>
  <c r="L11" i="11" s="1"/>
  <c r="M11" i="11" s="1"/>
  <c r="R11" i="11" s="1"/>
  <c r="S11" i="11" s="1"/>
  <c r="D11" i="11" s="1"/>
  <c r="E11" i="11" s="1"/>
  <c r="I10" i="11"/>
  <c r="F10" i="11"/>
  <c r="G10" i="11"/>
  <c r="S37" i="11"/>
  <c r="D37" i="11" s="1"/>
  <c r="E37" i="11" s="1"/>
  <c r="G125" i="11"/>
  <c r="H125" i="11"/>
  <c r="F125" i="11"/>
  <c r="J125" i="11"/>
  <c r="I125" i="11"/>
  <c r="H137" i="11"/>
  <c r="J137" i="11"/>
  <c r="I137" i="11"/>
  <c r="G137" i="11"/>
  <c r="F137" i="11"/>
  <c r="S126" i="11"/>
  <c r="D126" i="11" s="1"/>
  <c r="E126" i="11" s="1"/>
  <c r="Q93" i="11"/>
  <c r="R93" i="11" s="1"/>
  <c r="H10" i="11"/>
  <c r="Q38" i="11"/>
  <c r="R38" i="11" s="1"/>
  <c r="Q127" i="11"/>
  <c r="R127" i="11" s="1"/>
  <c r="S76" i="11"/>
  <c r="D76" i="11" s="1"/>
  <c r="E76" i="11" s="1"/>
  <c r="Q77" i="11"/>
  <c r="R77" i="11" s="1"/>
  <c r="J10" i="11"/>
  <c r="S13" i="11"/>
  <c r="D13" i="11" s="1"/>
  <c r="E13" i="11" s="1"/>
  <c r="G36" i="11"/>
  <c r="F36" i="11"/>
  <c r="I36" i="11"/>
  <c r="J36" i="11"/>
  <c r="H36" i="11"/>
  <c r="G3" i="11"/>
  <c r="I3" i="11"/>
  <c r="H3" i="11"/>
  <c r="P94" i="11"/>
  <c r="P78" i="11"/>
  <c r="P128" i="11"/>
  <c r="P55" i="11"/>
  <c r="Q55" i="11" s="1"/>
  <c r="P14" i="11"/>
  <c r="Q14" i="11" s="1"/>
  <c r="F3" i="11"/>
  <c r="J3" i="11"/>
  <c r="D92" i="11"/>
  <c r="E92" i="11" s="1"/>
  <c r="D91" i="11"/>
  <c r="E91" i="11" s="1"/>
  <c r="D2" i="11"/>
  <c r="E2" i="11" s="1"/>
  <c r="D4" i="11"/>
  <c r="E4" i="11" s="1"/>
  <c r="B120" i="2"/>
  <c r="D120" i="2" s="1"/>
  <c r="D125" i="2" s="1"/>
  <c r="B134" i="2"/>
  <c r="D134" i="2" s="1"/>
  <c r="D139" i="2" s="1"/>
  <c r="G125" i="2"/>
  <c r="K45" i="11" s="1"/>
  <c r="L45" i="11" s="1"/>
  <c r="M45" i="11" s="1"/>
  <c r="R45" i="11" s="1"/>
  <c r="S45" i="11" s="1"/>
  <c r="H153" i="2"/>
  <c r="F153" i="2"/>
  <c r="K62" i="11" s="1"/>
  <c r="L62" i="11" s="1"/>
  <c r="M62" i="11" s="1"/>
  <c r="R62" i="11" s="1"/>
  <c r="G153" i="2"/>
  <c r="K61" i="11" s="1"/>
  <c r="L61" i="11" s="1"/>
  <c r="M61" i="11" s="1"/>
  <c r="R61" i="11" s="1"/>
  <c r="D5" i="2"/>
  <c r="K6" i="11" s="1"/>
  <c r="D109" i="2"/>
  <c r="K104" i="11" s="1"/>
  <c r="D153" i="2"/>
  <c r="E153" i="2" s="1"/>
  <c r="G139" i="2"/>
  <c r="K53" i="11" s="1"/>
  <c r="L53" i="11" s="1"/>
  <c r="M53" i="11" s="1"/>
  <c r="R53" i="11" s="1"/>
  <c r="G130" i="11" l="1"/>
  <c r="E130" i="11"/>
  <c r="F12" i="11"/>
  <c r="E12" i="11"/>
  <c r="J130" i="11"/>
  <c r="H130" i="11"/>
  <c r="G131" i="11"/>
  <c r="F131" i="11"/>
  <c r="H131" i="11"/>
  <c r="J131" i="11"/>
  <c r="I131" i="11"/>
  <c r="F132" i="11"/>
  <c r="G132" i="11"/>
  <c r="H132" i="11"/>
  <c r="J132" i="11"/>
  <c r="I132" i="11"/>
  <c r="I130" i="11"/>
  <c r="F130" i="11"/>
  <c r="F70" i="11"/>
  <c r="J70" i="11"/>
  <c r="I70" i="11"/>
  <c r="G70" i="11"/>
  <c r="H70" i="11"/>
  <c r="G113" i="11"/>
  <c r="J113" i="11"/>
  <c r="H113" i="11"/>
  <c r="I113" i="11"/>
  <c r="F113" i="11"/>
  <c r="I12" i="11"/>
  <c r="G12" i="11"/>
  <c r="J12" i="11"/>
  <c r="H12" i="11"/>
  <c r="L104" i="11"/>
  <c r="M104" i="11" s="1"/>
  <c r="R104" i="11" s="1"/>
  <c r="S104" i="11" s="1"/>
  <c r="D104" i="11" s="1"/>
  <c r="E104" i="11" s="1"/>
  <c r="G37" i="11"/>
  <c r="F37" i="11"/>
  <c r="J37" i="11"/>
  <c r="H37" i="11"/>
  <c r="I37" i="11"/>
  <c r="S38" i="11"/>
  <c r="D38" i="11" s="1"/>
  <c r="E38" i="11" s="1"/>
  <c r="S93" i="11"/>
  <c r="D93" i="11" s="1"/>
  <c r="E93" i="11" s="1"/>
  <c r="S127" i="11"/>
  <c r="D127" i="11" s="1"/>
  <c r="E127" i="11" s="1"/>
  <c r="I13" i="11"/>
  <c r="G13" i="11"/>
  <c r="F13" i="11"/>
  <c r="J13" i="11"/>
  <c r="H13" i="11"/>
  <c r="F76" i="11"/>
  <c r="J76" i="11"/>
  <c r="G76" i="11"/>
  <c r="H76" i="11"/>
  <c r="I76" i="11"/>
  <c r="S62" i="11"/>
  <c r="D62" i="11" s="1"/>
  <c r="E62" i="11" s="1"/>
  <c r="S53" i="11"/>
  <c r="D53" i="11" s="1"/>
  <c r="G126" i="11"/>
  <c r="H126" i="11"/>
  <c r="I126" i="11"/>
  <c r="J126" i="11"/>
  <c r="F126" i="11"/>
  <c r="S77" i="11"/>
  <c r="D77" i="11" s="1"/>
  <c r="E77" i="11" s="1"/>
  <c r="S61" i="11"/>
  <c r="D61" i="11" s="1"/>
  <c r="Q128" i="11"/>
  <c r="R128" i="11" s="1"/>
  <c r="S128" i="11" s="1"/>
  <c r="Q78" i="11"/>
  <c r="R78" i="11" s="1"/>
  <c r="Q94" i="11"/>
  <c r="R94" i="11" s="1"/>
  <c r="G11" i="11"/>
  <c r="H11" i="11"/>
  <c r="I11" i="11"/>
  <c r="F11" i="11"/>
  <c r="J11" i="11"/>
  <c r="H4" i="11"/>
  <c r="G4" i="11"/>
  <c r="I4" i="11"/>
  <c r="G2" i="11"/>
  <c r="H2" i="11"/>
  <c r="I2" i="11"/>
  <c r="H91" i="11"/>
  <c r="G91" i="11"/>
  <c r="I91" i="11"/>
  <c r="H92" i="11"/>
  <c r="G92" i="11"/>
  <c r="I92" i="11"/>
  <c r="P56" i="11"/>
  <c r="Q56" i="11" s="1"/>
  <c r="P15" i="11"/>
  <c r="Q15" i="11" s="1"/>
  <c r="R14" i="11"/>
  <c r="P95" i="11"/>
  <c r="F91" i="11"/>
  <c r="J91" i="11"/>
  <c r="F92" i="11"/>
  <c r="J92" i="11"/>
  <c r="F4" i="11"/>
  <c r="J4" i="11"/>
  <c r="F2" i="11"/>
  <c r="J2" i="11"/>
  <c r="K66" i="11"/>
  <c r="L66" i="11" s="1"/>
  <c r="M66" i="11" s="1"/>
  <c r="R66" i="11" s="1"/>
  <c r="K75" i="11"/>
  <c r="L75" i="11" s="1"/>
  <c r="M75" i="11" s="1"/>
  <c r="R75" i="11" s="1"/>
  <c r="K64" i="11"/>
  <c r="L64" i="11" s="1"/>
  <c r="M64" i="11" s="1"/>
  <c r="R64" i="11" s="1"/>
  <c r="K63" i="11"/>
  <c r="L63" i="11" s="1"/>
  <c r="M63" i="11" s="1"/>
  <c r="R63" i="11" s="1"/>
  <c r="F139" i="2"/>
  <c r="K54" i="11" s="1"/>
  <c r="L54" i="11" s="1"/>
  <c r="M54" i="11" s="1"/>
  <c r="R54" i="11" s="1"/>
  <c r="E139" i="2"/>
  <c r="K55" i="11" s="1"/>
  <c r="L55" i="11" s="1"/>
  <c r="M55" i="11" s="1"/>
  <c r="R55" i="11" s="1"/>
  <c r="K56" i="11"/>
  <c r="L56" i="11" s="1"/>
  <c r="M56" i="11" s="1"/>
  <c r="L6" i="11"/>
  <c r="M6" i="11" s="1"/>
  <c r="R6" i="11" s="1"/>
  <c r="S6" i="11" s="1"/>
  <c r="H139" i="2"/>
  <c r="H125" i="2"/>
  <c r="D45" i="11"/>
  <c r="E125" i="2"/>
  <c r="F125" i="2"/>
  <c r="K46" i="11" s="1"/>
  <c r="L46" i="11" s="1"/>
  <c r="M46" i="11" s="1"/>
  <c r="R46" i="11" s="1"/>
  <c r="S46" i="11" s="1"/>
  <c r="H104" i="11" l="1"/>
  <c r="F104" i="11"/>
  <c r="J104" i="11"/>
  <c r="G104" i="11"/>
  <c r="I104" i="11"/>
  <c r="I53" i="11"/>
  <c r="F53" i="11"/>
  <c r="H53" i="11"/>
  <c r="J127" i="11"/>
  <c r="H127" i="11"/>
  <c r="I127" i="11"/>
  <c r="G127" i="11"/>
  <c r="F127" i="11"/>
  <c r="H62" i="11"/>
  <c r="I62" i="11"/>
  <c r="G62" i="11"/>
  <c r="F62" i="11"/>
  <c r="J62" i="11"/>
  <c r="F77" i="11"/>
  <c r="J77" i="11"/>
  <c r="H77" i="11"/>
  <c r="I77" i="11"/>
  <c r="G77" i="11"/>
  <c r="H38" i="11"/>
  <c r="J38" i="11"/>
  <c r="I38" i="11"/>
  <c r="G38" i="11"/>
  <c r="F38" i="11"/>
  <c r="I61" i="11"/>
  <c r="G61" i="11"/>
  <c r="F61" i="11"/>
  <c r="J61" i="11"/>
  <c r="H61" i="11"/>
  <c r="S75" i="11"/>
  <c r="D75" i="11" s="1"/>
  <c r="E75" i="11" s="1"/>
  <c r="S66" i="11"/>
  <c r="D66" i="11" s="1"/>
  <c r="E66" i="11" s="1"/>
  <c r="I93" i="11"/>
  <c r="J93" i="11"/>
  <c r="H93" i="11"/>
  <c r="F93" i="11"/>
  <c r="G93" i="11"/>
  <c r="S54" i="11"/>
  <c r="D54" i="11" s="1"/>
  <c r="E54" i="11" s="1"/>
  <c r="G53" i="11"/>
  <c r="S63" i="11"/>
  <c r="D63" i="11" s="1"/>
  <c r="E63" i="11" s="1"/>
  <c r="J53" i="11"/>
  <c r="S64" i="11"/>
  <c r="D64" i="11" s="1"/>
  <c r="E64" i="11" s="1"/>
  <c r="S78" i="11"/>
  <c r="D78" i="11" s="1"/>
  <c r="E78" i="11" s="1"/>
  <c r="S94" i="11"/>
  <c r="D94" i="11" s="1"/>
  <c r="E94" i="11" s="1"/>
  <c r="S55" i="11"/>
  <c r="D55" i="11" s="1"/>
  <c r="E55" i="11" s="1"/>
  <c r="D128" i="11"/>
  <c r="Q95" i="11"/>
  <c r="R95" i="11" s="1"/>
  <c r="S14" i="11"/>
  <c r="D14" i="11" s="1"/>
  <c r="E14" i="11" s="1"/>
  <c r="R56" i="11"/>
  <c r="G45" i="11"/>
  <c r="H45" i="11"/>
  <c r="I45" i="11"/>
  <c r="R15" i="11"/>
  <c r="P96" i="11"/>
  <c r="P16" i="11"/>
  <c r="Q16" i="11" s="1"/>
  <c r="F45" i="11"/>
  <c r="J45" i="11"/>
  <c r="J125" i="2"/>
  <c r="K52" i="11" s="1"/>
  <c r="L52" i="11" s="1"/>
  <c r="M52" i="11" s="1"/>
  <c r="R52" i="11" s="1"/>
  <c r="K74" i="11"/>
  <c r="L74" i="11" s="1"/>
  <c r="M74" i="11" s="1"/>
  <c r="R74" i="11" s="1"/>
  <c r="D6" i="11"/>
  <c r="E6" i="11" s="1"/>
  <c r="J139" i="2"/>
  <c r="K60" i="11" s="1"/>
  <c r="L60" i="11" s="1"/>
  <c r="M60" i="11" s="1"/>
  <c r="R60" i="11" s="1"/>
  <c r="K58" i="11"/>
  <c r="L58" i="11" s="1"/>
  <c r="M58" i="11" s="1"/>
  <c r="R58" i="11" s="1"/>
  <c r="K50" i="11"/>
  <c r="L50" i="11" s="1"/>
  <c r="M50" i="11" s="1"/>
  <c r="R50" i="11" s="1"/>
  <c r="S50" i="11" s="1"/>
  <c r="D46" i="11"/>
  <c r="E46" i="11" s="1"/>
  <c r="K47" i="11"/>
  <c r="L47" i="11" s="1"/>
  <c r="M47" i="11" s="1"/>
  <c r="R47" i="11" s="1"/>
  <c r="S47" i="11" s="1"/>
  <c r="K48" i="11"/>
  <c r="L48" i="11" s="1"/>
  <c r="M48" i="11" s="1"/>
  <c r="R48" i="11" s="1"/>
  <c r="S48" i="11" s="1"/>
  <c r="G128" i="11" l="1"/>
  <c r="E128" i="11"/>
  <c r="H63" i="11"/>
  <c r="F63" i="11"/>
  <c r="I75" i="11"/>
  <c r="H75" i="11"/>
  <c r="J63" i="11"/>
  <c r="I63" i="11"/>
  <c r="G63" i="11"/>
  <c r="I128" i="11"/>
  <c r="F128" i="11"/>
  <c r="I64" i="11"/>
  <c r="F64" i="11"/>
  <c r="J64" i="11"/>
  <c r="G64" i="11"/>
  <c r="H64" i="11"/>
  <c r="I66" i="11"/>
  <c r="H66" i="11"/>
  <c r="F66" i="11"/>
  <c r="J66" i="11"/>
  <c r="G66" i="11"/>
  <c r="H54" i="11"/>
  <c r="I54" i="11"/>
  <c r="F54" i="11"/>
  <c r="G54" i="11"/>
  <c r="J54" i="11"/>
  <c r="S60" i="11"/>
  <c r="D60" i="11" s="1"/>
  <c r="E60" i="11" s="1"/>
  <c r="S74" i="11"/>
  <c r="D74" i="11" s="1"/>
  <c r="E74" i="11" s="1"/>
  <c r="S52" i="11"/>
  <c r="D52" i="11" s="1"/>
  <c r="E52" i="11" s="1"/>
  <c r="J75" i="11"/>
  <c r="G75" i="11"/>
  <c r="F75" i="11"/>
  <c r="S58" i="11"/>
  <c r="D58" i="11" s="1"/>
  <c r="E58" i="11" s="1"/>
  <c r="I55" i="11"/>
  <c r="J55" i="11"/>
  <c r="H55" i="11"/>
  <c r="G55" i="11"/>
  <c r="J128" i="11"/>
  <c r="H14" i="11"/>
  <c r="G14" i="11"/>
  <c r="I14" i="11"/>
  <c r="F14" i="11"/>
  <c r="J14" i="11"/>
  <c r="H94" i="11"/>
  <c r="F94" i="11"/>
  <c r="J94" i="11"/>
  <c r="I94" i="11"/>
  <c r="G94" i="11"/>
  <c r="S56" i="11"/>
  <c r="D56" i="11" s="1"/>
  <c r="E56" i="11" s="1"/>
  <c r="S95" i="11"/>
  <c r="D95" i="11" s="1"/>
  <c r="E95" i="11" s="1"/>
  <c r="H128" i="11"/>
  <c r="F55" i="11"/>
  <c r="Q96" i="11"/>
  <c r="R96" i="11" s="1"/>
  <c r="S15" i="11"/>
  <c r="D15" i="11" s="1"/>
  <c r="E15" i="11" s="1"/>
  <c r="G78" i="11"/>
  <c r="F78" i="11"/>
  <c r="H78" i="11"/>
  <c r="J78" i="11"/>
  <c r="I78" i="11"/>
  <c r="G46" i="11"/>
  <c r="H46" i="11"/>
  <c r="I46" i="11"/>
  <c r="G6" i="11"/>
  <c r="H6" i="11"/>
  <c r="I6" i="11"/>
  <c r="R16" i="11"/>
  <c r="P17" i="11"/>
  <c r="Q17" i="11" s="1"/>
  <c r="F6" i="11"/>
  <c r="J6" i="11"/>
  <c r="F46" i="11"/>
  <c r="J46" i="11"/>
  <c r="D47" i="11"/>
  <c r="E47" i="11" s="1"/>
  <c r="D50" i="11"/>
  <c r="E50" i="11" s="1"/>
  <c r="D48" i="11"/>
  <c r="E48" i="11" s="1"/>
  <c r="H60" i="11" l="1"/>
  <c r="J60" i="11"/>
  <c r="G60" i="11"/>
  <c r="F60" i="11"/>
  <c r="I58" i="11"/>
  <c r="G58" i="11"/>
  <c r="F58" i="11"/>
  <c r="H58" i="11"/>
  <c r="J58" i="11"/>
  <c r="F52" i="11"/>
  <c r="J52" i="11"/>
  <c r="H52" i="11"/>
  <c r="I52" i="11"/>
  <c r="G52" i="11"/>
  <c r="I74" i="11"/>
  <c r="G74" i="11"/>
  <c r="H74" i="11"/>
  <c r="F74" i="11"/>
  <c r="J74" i="11"/>
  <c r="I60" i="11"/>
  <c r="J56" i="11"/>
  <c r="I56" i="11"/>
  <c r="F56" i="11"/>
  <c r="G56" i="11"/>
  <c r="H56" i="11"/>
  <c r="G15" i="11"/>
  <c r="J15" i="11"/>
  <c r="F15" i="11"/>
  <c r="H15" i="11"/>
  <c r="I15" i="11"/>
  <c r="F95" i="11"/>
  <c r="G95" i="11"/>
  <c r="I95" i="11"/>
  <c r="J95" i="11"/>
  <c r="H95" i="11"/>
  <c r="S16" i="11"/>
  <c r="D16" i="11" s="1"/>
  <c r="E16" i="11" s="1"/>
  <c r="S96" i="11"/>
  <c r="D96" i="11" s="1"/>
  <c r="E96" i="11" s="1"/>
  <c r="G47" i="11"/>
  <c r="H47" i="11"/>
  <c r="I47" i="11"/>
  <c r="I50" i="11"/>
  <c r="G50" i="11"/>
  <c r="H50" i="11"/>
  <c r="G48" i="11"/>
  <c r="H48" i="11"/>
  <c r="I48" i="11"/>
  <c r="R17" i="11"/>
  <c r="P18" i="11"/>
  <c r="Q18" i="11" s="1"/>
  <c r="F48" i="11"/>
  <c r="J48" i="11"/>
  <c r="F50" i="11"/>
  <c r="J50" i="11"/>
  <c r="F47" i="11"/>
  <c r="J47" i="11"/>
  <c r="J16" i="11" l="1"/>
  <c r="I16" i="11"/>
  <c r="F16" i="11"/>
  <c r="H16" i="11"/>
  <c r="G16" i="11"/>
  <c r="S17" i="11"/>
  <c r="D17" i="11" s="1"/>
  <c r="E17" i="11" s="1"/>
  <c r="G96" i="11"/>
  <c r="I96" i="11"/>
  <c r="H96" i="11"/>
  <c r="F96" i="11"/>
  <c r="J96" i="11"/>
  <c r="R18" i="11"/>
  <c r="P19" i="11"/>
  <c r="Q19" i="11" s="1"/>
  <c r="F17" i="11" l="1"/>
  <c r="G17" i="11"/>
  <c r="I17" i="11"/>
  <c r="J17" i="11"/>
  <c r="H17" i="11"/>
  <c r="S18" i="11"/>
  <c r="D18" i="11" s="1"/>
  <c r="E18" i="11" s="1"/>
  <c r="R19" i="11"/>
  <c r="P20" i="11"/>
  <c r="Q20" i="11" s="1"/>
  <c r="G18" i="11" l="1"/>
  <c r="J18" i="11"/>
  <c r="F18" i="11"/>
  <c r="I18" i="11"/>
  <c r="H18" i="11"/>
  <c r="S19" i="11"/>
  <c r="D19" i="11" s="1"/>
  <c r="E19" i="11" s="1"/>
  <c r="P21" i="11"/>
  <c r="Q21" i="11" s="1"/>
  <c r="R20" i="11"/>
  <c r="H19" i="11" l="1"/>
  <c r="F19" i="11"/>
  <c r="J19" i="11"/>
  <c r="I19" i="11"/>
  <c r="G19" i="11"/>
  <c r="S20" i="11"/>
  <c r="D20" i="11" s="1"/>
  <c r="E20" i="11" s="1"/>
  <c r="P22" i="11"/>
  <c r="Q22" i="11" s="1"/>
  <c r="R21" i="11"/>
  <c r="I20" i="11" l="1"/>
  <c r="H20" i="11"/>
  <c r="F20" i="11"/>
  <c r="J20" i="11"/>
  <c r="G20" i="11"/>
  <c r="S21" i="11"/>
  <c r="D21" i="11" s="1"/>
  <c r="E21" i="11" s="1"/>
  <c r="P23" i="11"/>
  <c r="Q23" i="11" s="1"/>
  <c r="R22" i="11"/>
  <c r="I21" i="11" l="1"/>
  <c r="J21" i="11"/>
  <c r="H21" i="11"/>
  <c r="F21" i="11"/>
  <c r="G21" i="11"/>
  <c r="S22" i="11"/>
  <c r="D22" i="11" s="1"/>
  <c r="E22" i="11" s="1"/>
  <c r="R23" i="11"/>
  <c r="P24" i="11"/>
  <c r="G22" i="11" l="1"/>
  <c r="I22" i="11"/>
  <c r="F22" i="11"/>
  <c r="J22" i="11"/>
  <c r="H22" i="11"/>
  <c r="Q24" i="11"/>
  <c r="R24" i="11" s="1"/>
  <c r="S23" i="11"/>
  <c r="D23" i="11" s="1"/>
  <c r="H23" i="11" l="1"/>
  <c r="E23" i="11"/>
  <c r="S24" i="11"/>
  <c r="D24" i="11" s="1"/>
  <c r="E24" i="11" s="1"/>
  <c r="I23" i="11"/>
  <c r="J23" i="11"/>
  <c r="G23" i="11"/>
  <c r="F23" i="11"/>
  <c r="J24" i="11" l="1"/>
  <c r="G24" i="11"/>
  <c r="I24" i="11"/>
  <c r="H24" i="11"/>
  <c r="F24" i="11"/>
</calcChain>
</file>

<file path=xl/sharedStrings.xml><?xml version="1.0" encoding="utf-8"?>
<sst xmlns="http://schemas.openxmlformats.org/spreadsheetml/2006/main" count="2538" uniqueCount="852">
  <si>
    <t>Drains &amp; Clogs</t>
  </si>
  <si>
    <t>Unclog Toilet or Urinal (Without Removal)</t>
  </si>
  <si>
    <t>Drain Stop 2" or smaller up to 75' (House Branch)</t>
  </si>
  <si>
    <t>Garbage Disposal</t>
  </si>
  <si>
    <t>1/2 HP garbage disposal</t>
  </si>
  <si>
    <t>3/4 HP garbage disposal</t>
  </si>
  <si>
    <t>Water Heater Repairs</t>
  </si>
  <si>
    <t>Water Heater Diagnosing Service Call</t>
  </si>
  <si>
    <t>Unclog P-trap Under Sink</t>
  </si>
  <si>
    <t>Drain Stop 3" up to 75' (House Main)</t>
  </si>
  <si>
    <t>Disconnect &amp; Reconnect</t>
  </si>
  <si>
    <t>Kitchen Sink</t>
  </si>
  <si>
    <t>Vanity (bathroom) Sink</t>
  </si>
  <si>
    <t>Valves</t>
  </si>
  <si>
    <t>3/4 Ball Valve</t>
  </si>
  <si>
    <t>1" Ball Valve</t>
  </si>
  <si>
    <t>Single Outlet Angle Stop</t>
  </si>
  <si>
    <t>Double outlet Angle Stop</t>
  </si>
  <si>
    <t>3/4" Pressure Reducing Valve</t>
  </si>
  <si>
    <t>1" Pressure Reducing Valve</t>
  </si>
  <si>
    <t>1 1/4" Pressure Reducing Valve</t>
  </si>
  <si>
    <t>3/4" Pressure Vacuum Breaker</t>
  </si>
  <si>
    <t>1" Pressure Vacuum Breaker</t>
  </si>
  <si>
    <t>Kitchen Plumbing</t>
  </si>
  <si>
    <t>Faucet Rebuild Cartridge STANDARD - Moen, Delta</t>
  </si>
  <si>
    <t>Unclog &amp; Reset Garbage Disposal</t>
  </si>
  <si>
    <t>Bathroom Plumbing</t>
  </si>
  <si>
    <t>American Standard Best (Vormax)</t>
  </si>
  <si>
    <t>American Standard Better (Champion)</t>
  </si>
  <si>
    <t>American Standard Good (Cadet)</t>
  </si>
  <si>
    <t>Bring Your Water Heater Up To Code (40-50)</t>
  </si>
  <si>
    <t>40 Gallon Water Heater</t>
  </si>
  <si>
    <t>40 Gallon Power Vent Water Heat</t>
  </si>
  <si>
    <t>Reroute</t>
  </si>
  <si>
    <t>Mainline Reroute (Under 50')</t>
  </si>
  <si>
    <t>Commercial Bathrooms</t>
  </si>
  <si>
    <t>Urinal Remount</t>
  </si>
  <si>
    <t>Hose Bibb</t>
  </si>
  <si>
    <t>Owner Supplied Kitchen Faucet Install</t>
  </si>
  <si>
    <t>Owner Supplied</t>
  </si>
  <si>
    <t>Vanity (Bathroom) Faucet Install (1 Piece)</t>
  </si>
  <si>
    <t>Shower Fixture Install</t>
  </si>
  <si>
    <t>Toilet Install</t>
  </si>
  <si>
    <t>Complete Toilet Tank Rebuild</t>
  </si>
  <si>
    <t>Fill Valve &amp; Flapper</t>
  </si>
  <si>
    <t>Reset Toilet</t>
  </si>
  <si>
    <t>1/3 HP Garbage Disposal</t>
  </si>
  <si>
    <t>Shower Valve</t>
  </si>
  <si>
    <t>Single Line Reroute</t>
  </si>
  <si>
    <t>Mainline Reroute (50'-75')</t>
  </si>
  <si>
    <t>Water Softener</t>
  </si>
  <si>
    <t>Flange Repair Kit</t>
  </si>
  <si>
    <t>Laundry Plumbing</t>
  </si>
  <si>
    <t>Hot &amp; Cold Valve Box</t>
  </si>
  <si>
    <t>No Burst Washing Machine Hoses</t>
  </si>
  <si>
    <t>Flood Stop Electronic Valve Control</t>
  </si>
  <si>
    <t>75 Gallon Water Heater</t>
  </si>
  <si>
    <t>Insta Hot &amp; Tankless Heaters</t>
  </si>
  <si>
    <t>Insta-Hot (120 V)</t>
  </si>
  <si>
    <t>40 Gal Gas (Bronze)</t>
  </si>
  <si>
    <t>40 Gal Gas (Silver)</t>
  </si>
  <si>
    <t>40 Gal Gas (Gold)</t>
  </si>
  <si>
    <t>40 Gal Gas (Platinum)</t>
  </si>
  <si>
    <t>50 Gallon Water Heaters</t>
  </si>
  <si>
    <t>50 Gal Gas (Bronze)</t>
  </si>
  <si>
    <t>50 Gal Gas (Silver)</t>
  </si>
  <si>
    <t>50 Gal Gas (Gold)</t>
  </si>
  <si>
    <t>50 Gal Gas (Platinum)</t>
  </si>
  <si>
    <t>75 Gal Gas (Bronze)</t>
  </si>
  <si>
    <t>75 Gal Gas (Silver)</t>
  </si>
  <si>
    <t>75 Gal Gas (Gold)</t>
  </si>
  <si>
    <t>75 Gal Gas (Platinum)</t>
  </si>
  <si>
    <t>40 Gal Owner Supplied Heater &amp; Install Parts</t>
  </si>
  <si>
    <t>50 Gal Owner Supplied Heater &amp; Install Parts</t>
  </si>
  <si>
    <t>75 Gal Owner Supplied Heater &amp; Install Parts</t>
  </si>
  <si>
    <t>40 Gal Owner Supplied Heater Contractor Supplied Install Parts.</t>
  </si>
  <si>
    <t>50 Gal Owner Supplied Heater &amp; Contractor Supplied Install Parts</t>
  </si>
  <si>
    <t>75 Gal Owner Supplied Heater &amp; Contractor Supplied Install Parts</t>
  </si>
  <si>
    <t>40 Gal Heater Warranty Switch Out</t>
  </si>
  <si>
    <t>50 Gal Heater Warranty Switch Out</t>
  </si>
  <si>
    <t>75 Gal Heater Warranty Switch Out</t>
  </si>
  <si>
    <t>Bring Your Water Heater Up To Code (75)</t>
  </si>
  <si>
    <t>Fill Valve</t>
  </si>
  <si>
    <t>Wax Ring</t>
  </si>
  <si>
    <t>1" PRV</t>
  </si>
  <si>
    <t>1 1/4" PRV</t>
  </si>
  <si>
    <t>3/4" PVB</t>
  </si>
  <si>
    <t>1" PVB</t>
  </si>
  <si>
    <t>T &amp; P Relief Valve</t>
  </si>
  <si>
    <t>Water Softeners</t>
  </si>
  <si>
    <t>International Filter Water Softener 50,000</t>
  </si>
  <si>
    <t>International Filter Water Softener 32,000</t>
  </si>
  <si>
    <t>International Filter Water Softener 75,000</t>
  </si>
  <si>
    <t>Reverse Osmosis</t>
  </si>
  <si>
    <t>International Filter 4 Stage RO System</t>
  </si>
  <si>
    <t>International Filter 5 Stage RO System</t>
  </si>
  <si>
    <t>Whole House Filtration</t>
  </si>
  <si>
    <t>Core Pro Whole House Water Treatment</t>
  </si>
  <si>
    <t>Tank-less Water Heater System</t>
  </si>
  <si>
    <t>Navien Tankless Water Heater</t>
  </si>
  <si>
    <t>Camera Inspection</t>
  </si>
  <si>
    <t>Sewer Line Location</t>
  </si>
  <si>
    <t>Sloan Valve</t>
  </si>
  <si>
    <t>Basket Strainer (standard finish)</t>
  </si>
  <si>
    <t>Kitchen Faucet W/Pull Down Sprayer Better</t>
  </si>
  <si>
    <t>Kitchen Shut off or supply Partial</t>
  </si>
  <si>
    <t>Shut off &amp; Supply Line (2 pieces)</t>
  </si>
  <si>
    <t>Kitchen Drain Rebuild (1 part)</t>
  </si>
  <si>
    <t>Kitchen Drain Rebuild All Plastic Parts</t>
  </si>
  <si>
    <t>Complete Kitchen Drain Rebuild (Plastic &amp; Strainer)</t>
  </si>
  <si>
    <t>Air Gap (Standard Finish)</t>
  </si>
  <si>
    <t>Ice Maker Shut Off Valve (existing connections)</t>
  </si>
  <si>
    <t>Bathroom Faucet Rebuild (standard) Moen/Delta</t>
  </si>
  <si>
    <t>Tub Spout W or W/O Diverter STANDARD</t>
  </si>
  <si>
    <t>Tub &amp; Shower Valve STANDARD-Moen/Delta</t>
  </si>
  <si>
    <t>Owner Supplied 1 Piece Lav Faucet</t>
  </si>
  <si>
    <t>Owner Supplied 3 Piece Lav Faucet</t>
  </si>
  <si>
    <t>Owner Supplied Shower Head (Simple)</t>
  </si>
  <si>
    <t>Owner Supplied Shower Trim Kit</t>
  </si>
  <si>
    <t>Bathroom Drain Rebuild  (1 Plastic Part)</t>
  </si>
  <si>
    <t>Complete Bathroom Drain Rebuild Plastic</t>
  </si>
  <si>
    <t>Bathroom Shut Off Valve and Supply Line (1)</t>
  </si>
  <si>
    <t>Bathroom Complete Shut Off Valve &amp; Supply Line</t>
  </si>
  <si>
    <t>2 Single Handle Hot And Cold Valves</t>
  </si>
  <si>
    <t>Gas control valve (Rheem)</t>
  </si>
  <si>
    <t>Pull toilet and replace wax ring</t>
  </si>
  <si>
    <t>Jetting Branch Lines up to 75' (Mini Jetter)</t>
  </si>
  <si>
    <t>Unclog bathtub</t>
  </si>
  <si>
    <t>Recirculation pump</t>
  </si>
  <si>
    <t>Waste and overflow</t>
  </si>
  <si>
    <t>Uncategorized</t>
  </si>
  <si>
    <t>Vapor sensor</t>
  </si>
  <si>
    <t>3/4" Gas Valve</t>
  </si>
  <si>
    <t>1/2" Gas Valve &amp; 36" Flex Line</t>
  </si>
  <si>
    <t>1/2" Gas Valve &amp; 72" Flex Line</t>
  </si>
  <si>
    <t>Maniblock</t>
  </si>
  <si>
    <t>Sediment trap</t>
  </si>
  <si>
    <t>Prv 1â€ (pressure Regulator Valve)</t>
  </si>
  <si>
    <t>4-6gall Electric 120v Under Sink Water Heater</t>
  </si>
  <si>
    <t>Urinal chemical treatment</t>
  </si>
  <si>
    <t>Water heater- temp stand</t>
  </si>
  <si>
    <t>1in Moen Flo</t>
  </si>
  <si>
    <t>30 Gallon Electric Water Heater Replacement</t>
  </si>
  <si>
    <t>Owner Supplied Garbage Disposal</t>
  </si>
  <si>
    <t>Halo 5 Whole House Water Filtration And Conditioning System</t>
  </si>
  <si>
    <t>Bathroom Sink Install</t>
  </si>
  <si>
    <t>Hours</t>
  </si>
  <si>
    <t>Break Even</t>
  </si>
  <si>
    <t>Sub Cont</t>
  </si>
  <si>
    <t xml:space="preserve">Water Heater </t>
  </si>
  <si>
    <t xml:space="preserve">Commercial Bathrooms </t>
  </si>
  <si>
    <t>Water Softeners &amp; Filtration</t>
  </si>
  <si>
    <t>Kitchen Faucet W/Pull Out Sprayer</t>
  </si>
  <si>
    <t>Kitchen Faucet W/Pull Down and Wave Motion</t>
  </si>
  <si>
    <t>Hourly Rate</t>
  </si>
  <si>
    <t>Apartment Hourly Rate</t>
  </si>
  <si>
    <t xml:space="preserve">Hourly Rate for apartment work </t>
  </si>
  <si>
    <t>Hourly rate for retail if under 8 hours</t>
  </si>
  <si>
    <t>Retail &gt; 8 hours</t>
  </si>
  <si>
    <t>Hourly rate for retail if over 8 hours</t>
  </si>
  <si>
    <t>Retail &lt; 8 hours</t>
  </si>
  <si>
    <t>40G Gas Water Heater</t>
  </si>
  <si>
    <t>Cost</t>
  </si>
  <si>
    <t>Qty</t>
  </si>
  <si>
    <t>Total</t>
  </si>
  <si>
    <t>Heater</t>
  </si>
  <si>
    <t>PP MIP</t>
  </si>
  <si>
    <t>PP Ball Valve</t>
  </si>
  <si>
    <t>24" x 3/4" SL</t>
  </si>
  <si>
    <t>Pipe Insulation</t>
  </si>
  <si>
    <t xml:space="preserve">Pan </t>
  </si>
  <si>
    <t>PVC Pipe</t>
  </si>
  <si>
    <t>PVC 90's</t>
  </si>
  <si>
    <t>Permit</t>
  </si>
  <si>
    <t>50G Gas Water Heater</t>
  </si>
  <si>
    <t>75G Gas Water Heater</t>
  </si>
  <si>
    <t xml:space="preserve">Cost </t>
  </si>
  <si>
    <t>Flapper</t>
  </si>
  <si>
    <t>P-trap assembly</t>
  </si>
  <si>
    <t>Basket Strainer</t>
  </si>
  <si>
    <t>Angle Stop</t>
  </si>
  <si>
    <t>Supply Line</t>
  </si>
  <si>
    <t>40 gallon gas</t>
  </si>
  <si>
    <t>50 gallon gas</t>
  </si>
  <si>
    <t>75 gallon gas</t>
  </si>
  <si>
    <t>40 gallon power vent</t>
  </si>
  <si>
    <t>50 gallon power vent</t>
  </si>
  <si>
    <t>75 gallon power vent</t>
  </si>
  <si>
    <t>Pan</t>
  </si>
  <si>
    <t>Disposals</t>
  </si>
  <si>
    <t>1/3 hp</t>
  </si>
  <si>
    <t>1/2hp</t>
  </si>
  <si>
    <t>3/4hp</t>
  </si>
  <si>
    <t>Supply Lines</t>
  </si>
  <si>
    <t>3/4 18"</t>
  </si>
  <si>
    <t>3/4 24"</t>
  </si>
  <si>
    <t>3/4 36"</t>
  </si>
  <si>
    <t>1 18"</t>
  </si>
  <si>
    <t>1 24"</t>
  </si>
  <si>
    <t>Softener supply 18"</t>
  </si>
  <si>
    <t>Softener supply 24"</t>
  </si>
  <si>
    <t>3/4 ball valve Sweat</t>
  </si>
  <si>
    <t>3/4 ball valve pro press</t>
  </si>
  <si>
    <t>1" ball valve Sweat</t>
  </si>
  <si>
    <t>1" ball valve pro press</t>
  </si>
  <si>
    <t>Single angle stop</t>
  </si>
  <si>
    <t>Double angle stop</t>
  </si>
  <si>
    <t>3/4" PRV</t>
  </si>
  <si>
    <t>1 1/4" PVB</t>
  </si>
  <si>
    <t>Moen Valve</t>
  </si>
  <si>
    <t>Moen Valve and Oversize Cover</t>
  </si>
  <si>
    <t>Fittings</t>
  </si>
  <si>
    <t>Pro Press</t>
  </si>
  <si>
    <t>Sweat</t>
  </si>
  <si>
    <t>PVC</t>
  </si>
  <si>
    <t>Black Iron</t>
  </si>
  <si>
    <t>1/2"</t>
  </si>
  <si>
    <t>coupling</t>
  </si>
  <si>
    <t>mip</t>
  </si>
  <si>
    <t>fip</t>
  </si>
  <si>
    <t>t's</t>
  </si>
  <si>
    <t>Steet 90</t>
  </si>
  <si>
    <t>Street 45</t>
  </si>
  <si>
    <t>3/4"</t>
  </si>
  <si>
    <t>1"</t>
  </si>
  <si>
    <t>street 90</t>
  </si>
  <si>
    <t>street 45</t>
  </si>
  <si>
    <t>Stick Pipe</t>
  </si>
  <si>
    <t>Copper</t>
  </si>
  <si>
    <t>Wirsbo</t>
  </si>
  <si>
    <t>Pex</t>
  </si>
  <si>
    <t>Toilet Stuff</t>
  </si>
  <si>
    <t>Fill vavle</t>
  </si>
  <si>
    <t>flapper</t>
  </si>
  <si>
    <t>rebuild kit</t>
  </si>
  <si>
    <t>wax ring</t>
  </si>
  <si>
    <t>Supply line</t>
  </si>
  <si>
    <t>Rolled Pipe</t>
  </si>
  <si>
    <t>1/2 roll</t>
  </si>
  <si>
    <t>3/4 roll</t>
  </si>
  <si>
    <t>1" roll</t>
  </si>
  <si>
    <t>Toilets</t>
  </si>
  <si>
    <t>Gas</t>
  </si>
  <si>
    <t>1/2" gas valve</t>
  </si>
  <si>
    <t>1/2 x 36" gas supply line</t>
  </si>
  <si>
    <t>3/4 gas valve</t>
  </si>
  <si>
    <t>3/4" x 36" gas supply line</t>
  </si>
  <si>
    <t>1/2" pipe</t>
  </si>
  <si>
    <t>3/4" pipe</t>
  </si>
  <si>
    <t>1" pipe</t>
  </si>
  <si>
    <t>1 1/4" pipe</t>
  </si>
  <si>
    <t>1 1/2" pipe</t>
  </si>
  <si>
    <t>2" pipe</t>
  </si>
  <si>
    <t>1 1/4"</t>
  </si>
  <si>
    <t>1 1/2"</t>
  </si>
  <si>
    <t>2"</t>
  </si>
  <si>
    <t>90's</t>
  </si>
  <si>
    <t>T's</t>
  </si>
  <si>
    <t>Couplings</t>
  </si>
  <si>
    <t>1 1/4hp</t>
  </si>
  <si>
    <t>Coupling slip</t>
  </si>
  <si>
    <t>Sediment Traps</t>
  </si>
  <si>
    <t>Earthquake straps</t>
  </si>
  <si>
    <t>Gold</t>
  </si>
  <si>
    <t>Silver</t>
  </si>
  <si>
    <t>Bronze</t>
  </si>
  <si>
    <t>Faucet Supply Line</t>
  </si>
  <si>
    <t>Complete Shut Off &amp; Supply Lines</t>
  </si>
  <si>
    <t>1 Shut Off Valve &amp; Supply Line</t>
  </si>
  <si>
    <t>Fuacet Supply Line</t>
  </si>
  <si>
    <t>1" PP MIP</t>
  </si>
  <si>
    <t>1" PP Ball Valve</t>
  </si>
  <si>
    <t>24" x 1" SL</t>
  </si>
  <si>
    <t xml:space="preserve">Silver </t>
  </si>
  <si>
    <t>Garbage DIsposal</t>
  </si>
  <si>
    <t>1 1/4 HP garbage disposal</t>
  </si>
  <si>
    <t>1/2" Gas Valve</t>
  </si>
  <si>
    <t>1/2" Gas w/ 36" flex</t>
  </si>
  <si>
    <t>36" flex line</t>
  </si>
  <si>
    <t>Tracer Wire</t>
  </si>
  <si>
    <t>Sleeve</t>
  </si>
  <si>
    <t>Meter Nipple Adapter</t>
  </si>
  <si>
    <t>Copper Fittings (10 Fittings)</t>
  </si>
  <si>
    <t>Wirsbo Fittings (5 fittings)</t>
  </si>
  <si>
    <t>Copper 5'</t>
  </si>
  <si>
    <t>Wirsbo 100'</t>
  </si>
  <si>
    <t>Sand (8 bags)</t>
  </si>
  <si>
    <t>Install Parts</t>
  </si>
  <si>
    <t>Power Vent</t>
  </si>
  <si>
    <t>PV &amp; Parts</t>
  </si>
  <si>
    <t>50 Gal Power Vent Water Heater</t>
  </si>
  <si>
    <t>Van Marcke</t>
  </si>
  <si>
    <t>Slip Coupling</t>
  </si>
  <si>
    <t>Coupling</t>
  </si>
  <si>
    <t xml:space="preserve">1/2" </t>
  </si>
  <si>
    <t>Per Stick</t>
  </si>
  <si>
    <t>Per Foot</t>
  </si>
  <si>
    <t>Tank to bowl bolts</t>
  </si>
  <si>
    <t>Per Roll</t>
  </si>
  <si>
    <t>Gas Pipe</t>
  </si>
  <si>
    <t>Kitchen P-trap assembly</t>
  </si>
  <si>
    <t>Kitchen strainer basket</t>
  </si>
  <si>
    <t>Bathroom P'trap assembly</t>
  </si>
  <si>
    <t>Pop up assembly</t>
  </si>
  <si>
    <t>Kitchen faucet supply lines</t>
  </si>
  <si>
    <t>Lav faucet supply lines</t>
  </si>
  <si>
    <t>Urinal gasket</t>
  </si>
  <si>
    <t>Sloan valve</t>
  </si>
  <si>
    <t>Air Gap</t>
  </si>
  <si>
    <t>Ice maker valve</t>
  </si>
  <si>
    <t>Ice maker supply line</t>
  </si>
  <si>
    <t>Laundry valves only</t>
  </si>
  <si>
    <t>Landry valve complete box</t>
  </si>
  <si>
    <t xml:space="preserve">Meter adapter nipple </t>
  </si>
  <si>
    <t>Tub overflow gasket</t>
  </si>
  <si>
    <t>Hose bib</t>
  </si>
  <si>
    <t>Heater thermal couple</t>
  </si>
  <si>
    <t>Heater gas control valve</t>
  </si>
  <si>
    <t>Shower head Mid Grade</t>
  </si>
  <si>
    <t>Tub spout W/diverter Mid grade</t>
  </si>
  <si>
    <t>Flange metal repair ring</t>
  </si>
  <si>
    <t>3" 2 way clean out</t>
  </si>
  <si>
    <t>4" 2 way clean out</t>
  </si>
  <si>
    <t>Fergusson</t>
  </si>
  <si>
    <t>1hp</t>
  </si>
  <si>
    <t>Retail &gt; 4 hours</t>
  </si>
  <si>
    <t>Retail &lt; 4 hours</t>
  </si>
  <si>
    <t>Hourly rate for retail if over 4 hours</t>
  </si>
  <si>
    <t>Hourly rate for retail if under 4 hours</t>
  </si>
  <si>
    <t>Name</t>
  </si>
  <si>
    <t>Owner Supplied 1 Piece Lav Faucet (No Parts)</t>
  </si>
  <si>
    <t>Owner Supplied 3 Piece Lav Faucet (No Parts)</t>
  </si>
  <si>
    <t>Wax ring w/ bolt</t>
  </si>
  <si>
    <t>Kitchen Disposer Kit</t>
  </si>
  <si>
    <t>Chemical drain treatment Sizzle</t>
  </si>
  <si>
    <t>Tracer wire 500'</t>
  </si>
  <si>
    <t>Sleeve for wirsbo 1" 200'</t>
  </si>
  <si>
    <t>Insta hots 3.5 KW</t>
  </si>
  <si>
    <t>Insta hots 1.8 KW</t>
  </si>
  <si>
    <t>Kitchen Shut off and supply (1 of each)</t>
  </si>
  <si>
    <t>2 Shut off &amp; 2 Supply Line</t>
  </si>
  <si>
    <t>Disposer Kit</t>
  </si>
  <si>
    <t>Main Line Reroute &lt; 50'</t>
  </si>
  <si>
    <t>RO Faucet</t>
  </si>
  <si>
    <t>Core Pro In &amp; Out 1500</t>
  </si>
  <si>
    <t>Core Pro In &amp; Out 2000</t>
  </si>
  <si>
    <t>Navien Link Comunicator</t>
  </si>
  <si>
    <t>Navien 180 S 150K</t>
  </si>
  <si>
    <t>Navien 180 A 150K</t>
  </si>
  <si>
    <t>Navien 240 S 199K</t>
  </si>
  <si>
    <t>Navien 240 A 199K</t>
  </si>
  <si>
    <t>32K Water Softener</t>
  </si>
  <si>
    <t>50K Water Softener</t>
  </si>
  <si>
    <t>75K Water Softener</t>
  </si>
  <si>
    <t>Navien 180 A 150k (Condo/small home with recirc)</t>
  </si>
  <si>
    <t>Navien 180 S 150K (Condo/Small home no recirc)</t>
  </si>
  <si>
    <t>Water Heaters</t>
  </si>
  <si>
    <t>40 Gallon Water Heaters</t>
  </si>
  <si>
    <t>75 Gallon Water Heaters</t>
  </si>
  <si>
    <t>Reroutes</t>
  </si>
  <si>
    <t>Kitchen Sink Drain</t>
  </si>
  <si>
    <t xml:space="preserve">Kitchen  </t>
  </si>
  <si>
    <t>PM / Apartment Elong Toilet</t>
  </si>
  <si>
    <t>Toilet</t>
  </si>
  <si>
    <t>Wax ring w/ bolts</t>
  </si>
  <si>
    <t>PM / Apartment ADA Toilet</t>
  </si>
  <si>
    <t xml:space="preserve">Toilet </t>
  </si>
  <si>
    <t>4 Stage RO System W/ Faucet</t>
  </si>
  <si>
    <t>5 Stage RO System W/ Fuacet</t>
  </si>
  <si>
    <t>American standard Vormax W/ Seat ADA</t>
  </si>
  <si>
    <t>American standard champion W/ Seat ADA</t>
  </si>
  <si>
    <t>American Standard cadet W/ Seat ADA</t>
  </si>
  <si>
    <t xml:space="preserve">Van Marcke </t>
  </si>
  <si>
    <t>Kitchen</t>
  </si>
  <si>
    <t>Bathroom</t>
  </si>
  <si>
    <t>Laundry</t>
  </si>
  <si>
    <t>Each</t>
  </si>
  <si>
    <t>50'</t>
  </si>
  <si>
    <t>Outdoor</t>
  </si>
  <si>
    <t>Item</t>
  </si>
  <si>
    <t>Lowes</t>
  </si>
  <si>
    <t xml:space="preserve">ProFlo 1.28 Elongated </t>
  </si>
  <si>
    <t>ProFlo 1.28 ADA</t>
  </si>
  <si>
    <t>Soft Close Lids</t>
  </si>
  <si>
    <t>Toilet Install New Supply Kit</t>
  </si>
  <si>
    <t>Hot &amp; Cold Valve Box Wirsbo/Pex Valves</t>
  </si>
  <si>
    <t>Moen Flo Valve 3/4"</t>
  </si>
  <si>
    <t>Water Heater Elec Shut Off Valve 3/4"</t>
  </si>
  <si>
    <t>Moen Flo Valve 1"</t>
  </si>
  <si>
    <t>Moen Flo Valve Extension 25' Cord</t>
  </si>
  <si>
    <t>Core Pro In &amp; Out 1500 Filtration</t>
  </si>
  <si>
    <t>Core Pro In &amp; Out 2000 Filtration</t>
  </si>
  <si>
    <t>Install Kit</t>
  </si>
  <si>
    <t>Leak Detection</t>
  </si>
  <si>
    <t xml:space="preserve">Leak detection with Goldak </t>
  </si>
  <si>
    <t>Bathroom Complete Angle Stops &amp; Supply Lines</t>
  </si>
  <si>
    <t>Shower Fixture Trim Kit Install</t>
  </si>
  <si>
    <t>(Jetter Van) $424 Per Hour 2 min. $388/hour after first 2</t>
  </si>
  <si>
    <t>Bathroom Angle Stop and Supply Line (1)</t>
  </si>
  <si>
    <t>Kitchen Faucet W/Pull Down and Voice Control</t>
  </si>
  <si>
    <t>Field Labor</t>
  </si>
  <si>
    <t>Rate</t>
  </si>
  <si>
    <t>S.S. 6.2%</t>
  </si>
  <si>
    <t>Medicare 1.45%</t>
  </si>
  <si>
    <t>FUTA .80%</t>
  </si>
  <si>
    <t>NV SUI 2.95%</t>
  </si>
  <si>
    <t xml:space="preserve">Total Wages </t>
  </si>
  <si>
    <t>Day</t>
  </si>
  <si>
    <t>Week</t>
  </si>
  <si>
    <t>Month</t>
  </si>
  <si>
    <t>Vehicles</t>
  </si>
  <si>
    <t>Van Payment</t>
  </si>
  <si>
    <t>Van Insurance</t>
  </si>
  <si>
    <t xml:space="preserve">Gas </t>
  </si>
  <si>
    <t>Depreciation &amp; Maintenance</t>
  </si>
  <si>
    <t>Vehicle Total</t>
  </si>
  <si>
    <t>Office Stuff</t>
  </si>
  <si>
    <t>1 Tech</t>
  </si>
  <si>
    <t>2 Techs</t>
  </si>
  <si>
    <t>3 Techs</t>
  </si>
  <si>
    <t>4 Techs</t>
  </si>
  <si>
    <t>5 Techs</t>
  </si>
  <si>
    <t>6 Techs</t>
  </si>
  <si>
    <t>7 Techs</t>
  </si>
  <si>
    <t>8 Techs</t>
  </si>
  <si>
    <t>Rent</t>
  </si>
  <si>
    <t>Power</t>
  </si>
  <si>
    <t>Emails</t>
  </si>
  <si>
    <t>Phones &amp; Cable</t>
  </si>
  <si>
    <t>Mobile Phones</t>
  </si>
  <si>
    <t>House Call</t>
  </si>
  <si>
    <t>Profit Rhino</t>
  </si>
  <si>
    <t>Workmans Comp</t>
  </si>
  <si>
    <t>General Liability</t>
  </si>
  <si>
    <t>Licensing</t>
  </si>
  <si>
    <t>Yelp</t>
  </si>
  <si>
    <t>NextDoor</t>
  </si>
  <si>
    <t>Website</t>
  </si>
  <si>
    <t>Health Insurance</t>
  </si>
  <si>
    <t>Google</t>
  </si>
  <si>
    <t>Total Office</t>
  </si>
  <si>
    <t>Total Expenses</t>
  </si>
  <si>
    <t>Weekly / Team</t>
  </si>
  <si>
    <t>Weekly / Guy</t>
  </si>
  <si>
    <t>8 Billable Hours /Day</t>
  </si>
  <si>
    <t>5 Billable Hours / Day</t>
  </si>
  <si>
    <t>Daily / Guy</t>
  </si>
  <si>
    <t>Hourly</t>
  </si>
  <si>
    <t xml:space="preserve">Item </t>
  </si>
  <si>
    <t>Employee</t>
  </si>
  <si>
    <t>Van</t>
  </si>
  <si>
    <t>Overhead</t>
  </si>
  <si>
    <t>8 Billable Hours / Day</t>
  </si>
  <si>
    <t>Labor Rate</t>
  </si>
  <si>
    <t>Taxes 8.375%</t>
  </si>
  <si>
    <t>Total Cost</t>
  </si>
  <si>
    <t>Total M Cost</t>
  </si>
  <si>
    <t>Material Cost</t>
  </si>
  <si>
    <t>Labor Cost</t>
  </si>
  <si>
    <t>MU 30%</t>
  </si>
  <si>
    <t>Full Day Rate</t>
  </si>
  <si>
    <t>Service Rate</t>
  </si>
  <si>
    <t>Van Full Day</t>
  </si>
  <si>
    <t>Van Service</t>
  </si>
  <si>
    <t>Office Service</t>
  </si>
  <si>
    <t>Office Full Day</t>
  </si>
  <si>
    <t>5 Hours</t>
  </si>
  <si>
    <t>6 Hours</t>
  </si>
  <si>
    <t>7 Hours</t>
  </si>
  <si>
    <t>8 Hours</t>
  </si>
  <si>
    <t>Earth Quake Straps</t>
  </si>
  <si>
    <t>Sediment Trap</t>
  </si>
  <si>
    <t>TC/BE</t>
  </si>
  <si>
    <t>Warranty Switch Out</t>
  </si>
  <si>
    <t>Repair Flange</t>
  </si>
  <si>
    <t>Wax Ring W/ Bolts</t>
  </si>
  <si>
    <t>QTY</t>
  </si>
  <si>
    <t>Moen Cartridge</t>
  </si>
  <si>
    <t>Bathroom Drain Assembly</t>
  </si>
  <si>
    <t>P-trap assmebly</t>
  </si>
  <si>
    <t xml:space="preserve">Pop up assembly </t>
  </si>
  <si>
    <t>Waste &amp; Overflow Kit</t>
  </si>
  <si>
    <t>Basic Drop In Bathroom Sink Install</t>
  </si>
  <si>
    <t>Kitchen Sink Drain &amp; Strainer</t>
  </si>
  <si>
    <t>Kitchen Pull Down Sprayer</t>
  </si>
  <si>
    <t>Kitchen Pull Out Sprayer</t>
  </si>
  <si>
    <t>Kitchen Pull Down W/ Voice</t>
  </si>
  <si>
    <t>Kitchen Pull Down W/ Waive Motion</t>
  </si>
  <si>
    <t>MU 10%</t>
  </si>
  <si>
    <t>MU 20%</t>
  </si>
  <si>
    <t>MU 25%</t>
  </si>
  <si>
    <t>MU 15%</t>
  </si>
  <si>
    <t>CC Fee 3.5%</t>
  </si>
  <si>
    <t>Tub &amp; Shower Valve STANDARD-Moen/Delta W/ Beauty Trim</t>
  </si>
  <si>
    <t>Water Heaters &amp; Water Heater Parts</t>
  </si>
  <si>
    <t>Tankless Water Heaters</t>
  </si>
  <si>
    <t>Softeners &amp; Filtration Systems</t>
  </si>
  <si>
    <t>Other / Multiple Uses</t>
  </si>
  <si>
    <t>Standard Moen Valve</t>
  </si>
  <si>
    <t>Vavle</t>
  </si>
  <si>
    <t>Trim</t>
  </si>
  <si>
    <t>PP couplings</t>
  </si>
  <si>
    <t xml:space="preserve">Street 90's </t>
  </si>
  <si>
    <t>Moen Valve W/ Remodel Kit</t>
  </si>
  <si>
    <t>Oversized Trim</t>
  </si>
  <si>
    <t>Moen Trim Standard</t>
  </si>
  <si>
    <t>Bathroom Sink</t>
  </si>
  <si>
    <t>Standard drop in sink</t>
  </si>
  <si>
    <t>Ptrap assembly</t>
  </si>
  <si>
    <t xml:space="preserve">Standard Vanity Sink Drop in white porclean </t>
  </si>
  <si>
    <t>Moen Trim Oversize</t>
  </si>
  <si>
    <t>Gas flex line</t>
  </si>
  <si>
    <t>CPVC Pipe</t>
  </si>
  <si>
    <t>CPVC Transition FIP</t>
  </si>
  <si>
    <t>Copper Pipe</t>
  </si>
  <si>
    <t>Ball Valve</t>
  </si>
  <si>
    <t>Brass nipple</t>
  </si>
  <si>
    <t>2" Schedule 40 PVC</t>
  </si>
  <si>
    <t>2" PVC 90</t>
  </si>
  <si>
    <t>Navien 2 system</t>
  </si>
  <si>
    <t>Navi Link</t>
  </si>
  <si>
    <t>Softener</t>
  </si>
  <si>
    <t>Salt</t>
  </si>
  <si>
    <t xml:space="preserve">1/2" wirsbo </t>
  </si>
  <si>
    <t>Wirsbo female sweat</t>
  </si>
  <si>
    <t>Hose Clamp</t>
  </si>
  <si>
    <t>Filter System</t>
  </si>
  <si>
    <t>Recirculation Pump</t>
  </si>
  <si>
    <t>No burst Washing machine hose</t>
  </si>
  <si>
    <t>Copper Stub</t>
  </si>
  <si>
    <t>Wirsbo PP adapter</t>
  </si>
  <si>
    <t>T&amp;P Valve</t>
  </si>
  <si>
    <t>Daily / Team</t>
  </si>
  <si>
    <t xml:space="preserve">Navien 240 S 199K (Larger home with no recirc) </t>
  </si>
  <si>
    <t>Navien 240 A 199K (Larger Home with Recirc)</t>
  </si>
  <si>
    <t>2 Navien 240 A 199K (Large home with smart sensor)</t>
  </si>
  <si>
    <t>Copper Stub Outs</t>
  </si>
  <si>
    <t xml:space="preserve">Bathroom </t>
  </si>
  <si>
    <t>Shut Off Valve &amp; Supply Line</t>
  </si>
  <si>
    <t>Multiple Area Items</t>
  </si>
  <si>
    <t>Softeners &amp; Filtration</t>
  </si>
  <si>
    <t>IF WS 32,000</t>
  </si>
  <si>
    <t>IF WS 50,000</t>
  </si>
  <si>
    <t>IF WS 75,000</t>
  </si>
  <si>
    <t>Salt Bags</t>
  </si>
  <si>
    <t>Sand Bags</t>
  </si>
  <si>
    <t>Main Line Reroute = 50'-100'</t>
  </si>
  <si>
    <t>IF S4 RO System</t>
  </si>
  <si>
    <t>Faucet</t>
  </si>
  <si>
    <t>Connections</t>
  </si>
  <si>
    <t>IF S5 RO System</t>
  </si>
  <si>
    <t>In order for price request</t>
  </si>
  <si>
    <t>1/2" Propress</t>
  </si>
  <si>
    <t>1/2" Sweat</t>
  </si>
  <si>
    <t>1/2" PVC</t>
  </si>
  <si>
    <t>1/2" Black Iron</t>
  </si>
  <si>
    <t>1/2" CPVC</t>
  </si>
  <si>
    <t>CPVC</t>
  </si>
  <si>
    <t>3/4" CPVC</t>
  </si>
  <si>
    <t>3/4" Black Iron</t>
  </si>
  <si>
    <t>3/4" PVC</t>
  </si>
  <si>
    <t>3/4" Sweat</t>
  </si>
  <si>
    <t>3/4" Propress</t>
  </si>
  <si>
    <t>1" Propress</t>
  </si>
  <si>
    <t>1" Sweat</t>
  </si>
  <si>
    <t>1" Black Iron</t>
  </si>
  <si>
    <t>1" CPVC</t>
  </si>
  <si>
    <t>1 1/4" Black Iron Fittings</t>
  </si>
  <si>
    <t>1 1/2" Black Iron Fittings</t>
  </si>
  <si>
    <t>2" Black Iron Fittings</t>
  </si>
  <si>
    <t>3/4" Wirsbo</t>
  </si>
  <si>
    <t>1" Wirsbo</t>
  </si>
  <si>
    <t>1/2" Pex</t>
  </si>
  <si>
    <t>1/2' Wirsbo</t>
  </si>
  <si>
    <t>3/4" Pex</t>
  </si>
  <si>
    <t>1" Pex</t>
  </si>
  <si>
    <t>1/2" Copper</t>
  </si>
  <si>
    <t>3/4" Copper</t>
  </si>
  <si>
    <t>1" Copper</t>
  </si>
  <si>
    <t>1" PVC</t>
  </si>
  <si>
    <t>1/2" Wirsbo</t>
  </si>
  <si>
    <t>industry</t>
  </si>
  <si>
    <t>category</t>
  </si>
  <si>
    <t>name</t>
  </si>
  <si>
    <t>description</t>
  </si>
  <si>
    <t>price</t>
  </si>
  <si>
    <t>cost</t>
  </si>
  <si>
    <t>unit_of_measure</t>
  </si>
  <si>
    <t>Plumbing</t>
  </si>
  <si>
    <t>Don't be suckered by the other competition who will charge you by the hour even if they can't fix your problem.  We offer a 100% it drains or its FREE!_x000D_
_x000D_
Labor:_x000D_
-Unclog toilet. _x000D_
_x000D_
Exclusions:_x000D_
-Must be reasonably accessible._x000D_
-There will be an additional charge of resetting the toilet if we have to pull the toilet and run a sewer machine.</t>
  </si>
  <si>
    <t xml:space="preserve">Don't be suckered by the other competition who will charge you by the hour even if they can't fix your problem.  We offer a 100% it drains or its FREE!
Labor:
-Run sewer machine down drain line to remove blockage.
Exclusions:
-Must be reasonably accessible.
-Dignity is not responsible for pipes breaking while running sewer machine. </t>
  </si>
  <si>
    <t>Have a professional from the Dignity team install your garbage disposal._x000D_
_x000D_
Owner Supplied:_x000D_
-No owner supplied parts_x000D_
_x000D_
-Contractor Supplied:_x000D_
-1/2hp garbage disposal_x000D_
_x000D_
Labor:_x000D_
-Remove existing disposal and haul off._x000D_
-Install new disposal_x000D_
_x000D_
Warranty:_x000D_
-1 year parts_x000D_
-1 year labor</t>
  </si>
  <si>
    <t>Have a professional from the Dignity team install your garbage disposal._x000D_
_x000D_
Owner Supplied:_x000D_
-No owner supplied parts_x000D_
_x000D_
-Contractor Supplied:_x000D_
-3/4hp garbage disposal_x000D_
_x000D_
Labor:_x000D_
-Remove existing disposal and haul off._x000D_
-Install new disposal_x000D_
_x000D_
Warranty:_x000D_
-1 year parts_x000D_
-1 year labor</t>
  </si>
  <si>
    <t>Have a professional from the Dignity team unclog your P-trap._x000D_
_x000D_
Labor:_x000D_
-Remove P-trap_x000D_
-Clear clog and clean out_x000D_
-Reinstall P-trap_x000D_
_x000D_
Exclusions:_x000D_
-If clog is past the P-trap and requires us to run a sewer machine the price will increase.</t>
  </si>
  <si>
    <t xml:space="preserve">Don't be suckered by the other competition who will charge you by the hour even if they can't fix your problem.  We offer a 100% it drains or its FREE!_x000D_
_x000D_
Labor:_x000D_
-Run sewer machine down your main to unclog your sewer system._x000D_
_x000D_
Exclusions:_x000D_
-Must be reasonably accessible._x000D_
-Dignity is not responsible for pipes breaking while running sewer machine. _x000D_
</t>
  </si>
  <si>
    <t>Have a professional replace or install a 3/4" ball valve._x000D_
_x000D_
Owner Supplied:_x000D_
-No owner supplied parts_x000D_
_x000D_
Contractor Supplied:_x000D_
-3/4" ball valve_x000D_
_x000D_
Labor:_x000D_
-Remove old ball valve_x000D_
-Install new ball valve _x000D_
_x000D_
Warranty:_x000D_
-1 year parts_x000D_
-1 year labor_x000D_
_x000D_
Exclusions:_x000D_
-Ball valves exposed to weather are not covered under warranty._x000D_
-Must be reasonably accessible._x000D_
-If more than a 4' ladder is needed additional charges will apply.</t>
  </si>
  <si>
    <t>1inch Ball Valve</t>
  </si>
  <si>
    <t>Have a professional replace or install a 1inch ball valve.
Owner Supplied:
-No owner supplied parts
Contractor Supplied:
-1" ball valve
Labor:
-Remove old ball valve
-Install new ball valve 
Warranty:
-1 year parts
-1 year labor
Exclusions:
-Ball valves exposed to weather are not covered under warranty.
-Must be reasonably accessible.
-If more than a 4 foot ladder is needed additional charges will apply.</t>
  </si>
  <si>
    <t>Have a professional replace or install angle stop._x000D_
_x000D_
Owner Supplied:_x000D_
-No owner supplied parts_x000D_
_x000D_
Contractor Supplied:_x000D_
-Angle stop valve_x000D_
_x000D_
Labor:_x000D_
-Remove old valve_x000D_
-Install new angle stop_x000D_
_x000D_
Warranty:_x000D_
-1 year parts_x000D_
-1 year labor_x000D_
_x000D_
Exclusions:_x000D_
-Must be reasonably accessible._x000D_
-If more than a 4' ladder is needed additional charges will apply.</t>
  </si>
  <si>
    <t>3/4inch Pressure Reducing Valve</t>
  </si>
  <si>
    <t xml:space="preserve">Have a professional from the Dignity team replace your PRV._x000D_
_x000D_
Owner Supplied:_x000D_
-No owner supplied parts_x000D_
_x000D_
-Contractor Supplied:_x000D_
-PRV_x000D_
_x000D_
Labor:_x000D_
-Remove existing PRV and haul off_x000D_
-Install new PRV_x000D_
_x000D_
Warranty:_x000D_
-1 year parts_x000D_
-1 year labor_x000D_
_x000D_
Exclusions:_x000D_
-Must be reasonably accessible _x000D_
</t>
  </si>
  <si>
    <t>1inch Pressure Reducing Valve</t>
  </si>
  <si>
    <t xml:space="preserve">Have a professional from the Dignity team replace your PRV._x000D_
_x000D_
Owner Supplied:_x000D_
-No owner supplied parts_x000D_
_x000D_
-Contractor Supplied:_x000D_
-PRV_x000D_
_x000D_
Labor:_x000D_
-Remove existing PRV and haul off_x000D_
-Install new PRV_x000D_
_x000D_
Warranty:_x000D_
-1 year parts_x000D_
-1 year labor_x000D_
_x000D_
Exclusions:_x000D_
-Must be reasonably accessible </t>
  </si>
  <si>
    <t>1 1/4 inch Pressure Reducing Valve</t>
  </si>
  <si>
    <t>3/4inch Pressure Vacuum Breaker</t>
  </si>
  <si>
    <t xml:space="preserve">Have a professional from the Dignity team replace your PVB._x000D_
_x000D_
Owner Supplied:_x000D_
-No owner supplied parts_x000D_
_x000D_
-Contractor Supplied:_x000D_
-PVB_x000D_
_x000D_
Labor:_x000D_
-Remove existing PVB and haul off_x000D_
-Install new PVB_x000D_
_x000D_
Warranty:_x000D_
-1 year parts_x000D_
-1 year labor_x000D_
_x000D_
Exclusions:_x000D_
-Must be reasonably accessible </t>
  </si>
  <si>
    <t>1inch Pressure Vacuum Breaker</t>
  </si>
  <si>
    <t>Estimate</t>
  </si>
  <si>
    <t>Dispatch &amp; Diagnosing</t>
  </si>
  <si>
    <t xml:space="preserve">We know, other companies tell you how they will come out for a free estimate. What they don't tell you is that they will try all pushy sales tactics in the book once they are there. Here at Dignity we are eliminating the salesmen of the trade and bringing back true plumbers. We do have to charge for our technicians time to keep our rates fair. Why should the people who choose to do business with us have to pay more because of the people who are just shopping around for the cheapest price. This is the only way to keep fair competitive pricing across the board.  _x000D_
_x000D_
Have a professional come out and diagnose your plumbing.  We will give you a price for recommended repair.  We will waive the fee if you have the repair performed by us.  Thank you for choosing Dignity Plumbing. </t>
  </si>
  <si>
    <t>Kitchen Cartridge STANDARD - Moen, Delta</t>
  </si>
  <si>
    <t>Cartridge Only These brands or similar</t>
  </si>
  <si>
    <t>Unclog and reset garbage disposal._x000D_
_x000D_
*** Please call before scheduling this.  We would love to walk you through it over the phone.</t>
  </si>
  <si>
    <t>Supply and install the powerful flushing American Standard Champion.  This toilet is famous for flushing 21 golf balls in one flush. This is ADA height, 2 piece elongated model._x000D_
_x000D_
Owner Supplied: _x000D_
-No owner supplied parts_x000D_
_x000D_
Contractor Supplied:_x000D_
-Toilet_x000D_
-Wax Ring_x000D_
-Angle Stop_x000D_
-Supply Line_x000D_
_x000D_
Labor:_x000D_
-Remove and haul off of old toilet_x000D_
-Install all contractor supplied parts_x000D_
_x000D_
Warranty:_x000D_
-1 year parts_x000D_
-1 year labor_x000D_
_x000D_
Exclusions:_x000D_
-Toilets installed above 2nd floor will be additional charge. ($25 per floor)</t>
  </si>
  <si>
    <t xml:space="preserve">Supply and install the Cadet by American standard is a great toilet that is elongated.
Owner Supplied: 
-No owner supplied parts
Contractor Supplied:
-Toilet
-Wax Ring
-Angle Stop
-Supply Line
Labor:
-Remove and haul off of old toilet
-Install all contractor supplied parts
Warranty:
-1 year parts
-1 year labor
Exclusions:
-Toilets installed above 2nd floor will be additional charge. ($25 per floor)
</t>
  </si>
  <si>
    <t>Code requires you have earthquake straps, insulated supply lines and a sediment trap on your gas heater. We also install a drip pan that will help pipe future leaking water to floor instead of into your drywall to help eliminate expensive damage in the future.
Owner Supplied:
No owner supplied parts
Contractor Supplied:
-Insulation for supply lines
-Earthquake straps
-Sediment trap
-Drain pan piped to the floor
Labor:
-Drain heater and remove from stand.
-Install all contractor supplied parts.
-Reinstall heater.
Warranty:
-No warranty
Exclusions:
-Heaters that are difficult to get to may cause a cost increase.
-Specialty heaters such as power vent or direct vent may cause price increase.</t>
  </si>
  <si>
    <t>-Furnish and install 40 gallon power vent water heater up to code including new supply lines, ball valve, sediment trap and earthquake straps.</t>
  </si>
  <si>
    <t>Property Managers</t>
  </si>
  <si>
    <t>Water Heater Platform</t>
  </si>
  <si>
    <t>Servpro Temporary water heater Platform</t>
  </si>
  <si>
    <t xml:space="preserve">We send out one of our highly trained professionals to provide a free, honest no obligation estimate.  </t>
  </si>
  <si>
    <t>Re-Routes &amp; Re-Pipes</t>
  </si>
  <si>
    <t xml:space="preserve">- Excavate ground for new main line
- Drill through wall to get supply into necessary location. 
- Cut drywall inside to tie into new line. 
- Supply Wirsbo line.
-Install 6" of sand to cover pipe.
-Back-fill remaining trench with native soil.  
- Supply Pressure Regulating Valve 
- Supply Ball Valve for shut off 
- Pull necessary permits 
Exclusions:
*All patch work and landscape replacement done by others.* </t>
  </si>
  <si>
    <t>Outdoor Fixtures</t>
  </si>
  <si>
    <t>Install owner supplied kitchen faucet.
***Must fit without modifications to the countertop.</t>
  </si>
  <si>
    <t xml:space="preserve">Install owner supplied vanity faucet.  
***Must fit without modifications to the countertops.  </t>
  </si>
  <si>
    <t>Install owner supplied shower fixtures.  (1 Handle, 1 Spout &amp; 1 Head)
***Additional heads and spouts may lead to additional cost.  
***Must be proper trim for valve.  (The valve behind your wall is brand specific to the trim you pic.  Your shower head and tub spout are not effected by the valve but the on and off handle are brand specific and only fit with the valve that is inside the wall.)</t>
  </si>
  <si>
    <t>Have a professional install your new toilet.
Owner Supplied:
-Toilet
Contractor Supplied:
-Wax ring
-Flange bolts
Labor:
-Remove old toilet and haul off.
-Install owner supplied toilet.
-Install all contractor supplied parts.
Warranty:
-1 year contractor supplied parts
-1 year labor</t>
  </si>
  <si>
    <t>Have a professional replace all the internal parts of your tank for a leak less flawless operation.  
Owner Supplied:
-No owner supplied parts
Contractor Supplied:
-Fill valve
-Flush valve
-Flapper
-Tank to bowl bolts and gaskets
Labor:
-Remove all the internal parts of the old toilet and haul off
-Install contractor supplied parts
-Test for leaks
Warranty:
-1 year parts
-1 year labor</t>
  </si>
  <si>
    <t>If your toilet is running you probably need a new fill valve and flapper. Have a professional from the Dignity team replace yours and stop literally flushing your money down the drain. _x000D_
_x000D_
Owner Supplied:_x000D_
-No owner supplied parts_x000D_
_x000D_
Contractor Supplied:_x000D_
-Standard fill valve_x000D_
-Standard flapper_x000D_
**Most toilet use universal parts. However, special order parts will be additional charge._x000D_
_x000D_
Labor:_x000D_
-Remove existing fill valve and flapper.._x000D_
-Install new fill valve and flapper_x000D_
_x000D_
Warranty:_x000D_
-1 year parts_x000D_
-1 year labor_x000D_
_x000D_
Exclusions:_x000D_
-Toilet tanks with chlorine tabs or any other cleaning products in the tank voids warranty.</t>
  </si>
  <si>
    <t>If your toilet leaks from the bottom around the floor it has either come loose over time or was installed incorrectly. Unfortunately we often come across toilets that were incorrectly installed by the home owner or even other contractors. The Dignity team uses the best practices for proven success. 
Owner Supplied:
-Existing toilet
Contractor Supplied:
-New wax ring 
-New flange bolts
Labor:
-Remove existing toilet and clean debris from bottom of toilet 
-Install all contractor supplied parts 
-Reinstall existing toilet.
Warranty:
-1 year parts
-1 year labor</t>
  </si>
  <si>
    <t>Have a professional from the Dignity team install your garbage disposal._x000D_
_x000D_
Owner Supplied:_x000D_
-No owner supplied parts_x000D_
_x000D_
-Contractor Supplied:_x000D_
-1/3hp garbage disposal_x000D_
_x000D_
Labor:_x000D_
-Remove existing disposal and haul off._x000D_
-Install new disposal_x000D_
_x000D_
Warranty:_x000D_
-1 year parts_x000D_
-1 year labor</t>
  </si>
  <si>
    <t>-Supply and install owner supplied shower valve.
-Access through back of wall. 
-Patches done by others.
Owner Supplied 
-Shower valve
Contractor Supplied:
-Misc pipe and fittings to connect valve to existing water lines.
Labor:
-Removal and haul off of existing valve.
-Install and connect new supplied valve.
Warranty: 
-No parts
-1 year labor
Exclusions:  
-Valves that require any kind of special piping will be additional charge
-We will not install used valves
Valves above 2nd floor will be additional charge. ($25 per floor)</t>
  </si>
  <si>
    <t>-Reroute new plumbing line
Exclusions:
*Drywall/Stucco patchwork done by others.*</t>
  </si>
  <si>
    <t xml:space="preserve">- Excavate ground for new main line
- Drill through wall to get supply into necessary location. 
- Cut drywall inside to tie into new line. 
- Supply Wirsbo line.
-Install 6" of sand to cover pipe.
-Back-fill remaining trench with native soil.  
- Supply Pressure Regulating Valve 
- Supply Ball Valve for shut off 
- Pull necessary permits 
Exclusions:
*All patch work and landscape replacement done by others.*  </t>
  </si>
  <si>
    <t xml:space="preserve">Supply and install owner supplied water softener
Owner Supplied 
-Water Softener
Contractor Supplied
-Supply lines
-Misc parts to connect to existing softener loop
Labor:
-Removal and haul off of existing softener.
-Install and connect new owner supplied softener.
-Install all contractor supplied parts.
Warranty: 
-1 year contractor supplied parts
-No owner supplied parts warranty
-1 year labor
Exclusions:  
-Loop and drain line must be in place. 
-Pricing can change if location of the softener is inconvenient or difficult to get to. 
-Softeners not on the ground level will be an additional charge.  </t>
  </si>
  <si>
    <t xml:space="preserve">Have a professional from the Dignity team replace your washing machine valve box._x000D_
_x000D_
Owner Supplied:_x000D_
-No owner supplied parts_x000D_
_x000D_
Contractor Supplied:_x000D_
-Valve box _x000D_
-Valves_x000D_
_x000D_
Labor:_x000D_
-Cut holes necessary to access valves_x000D_
-Remove existing valves and box_x000D_
-Install contractor supplied parts_x000D_
_x000D_
Warranty:_x000D_
-1 year parts_x000D_
-1 year labor_x000D_
_x000D_
Exclusions:_x000D_
-Drywall patch not included_x000D_
-Must be reasonably accessible </t>
  </si>
  <si>
    <t>Have a professional from Dignity replace your existing hoses with no burst hoses._x000D_
_x000D_
Owner Supplied:_x000D_
-No owner supplied parts_x000D_
_x000D_
Contractor Supplied:_x000D_
-No burst hoses_x000D_
_x000D_
Labor:_x000D_
-Remove old hoses and haul off._x000D_
-Install new hoses_x000D_
_x000D_
Warranty:_x000D_
-1 year parts_x000D_
-1 year labor</t>
  </si>
  <si>
    <t>FloodStop WATER HEATER ELECTRONC SENSOR/SHUT OFF VALVE_x000D_
3/4â€ Motorized Ball Valve installed on cold water inlet._x000D_
- Water sensor is placed on the floor._x000D_
- Control Unit is mounted with screws or Velcro (included)._x000D_
- Optional Power Sources: AC &amp; (4) AA Batteries, or Batteries alone!_x000D_
Technical Specifications:_x000D_
- UL listed class 2 wall adaptor, 115AC/9VDC_x000D_
- UPC listed Fullâ€Port Motorized Ball Valve: CNC machined._x000D_
- Motor operates at 6VDC._x000D_
- Signal Output: 1 Normally Open, 24 Volt / 2 amp rated_x000D_
- Motorized Ball Valve: CNC machined with MIP X FIP._x000D_
- Rated 0â€180 PSI. Max 250 PSI. Solid brass. AB1953, UPC, CUPC, NSF61 cert._x000D_
- Rated 32â€212 degrees F_x000D_
- Sensor: 1.25 X 7.5 inch, double sided. Additional sensors may be added in_x000D_
series._x000D_
- Alarm: Beeping with Mute button._x000D_
Requires drain pan not included._x000D_
APPWHS1170.25.OL</t>
  </si>
  <si>
    <t>75 Gallon water heater (Electric)</t>
  </si>
  <si>
    <t xml:space="preserve">75 Gallon Marathon water heater_x000D_
1.25 GPM_x000D_
</t>
  </si>
  <si>
    <t>each</t>
  </si>
  <si>
    <t>Under Sink Insta Hot</t>
  </si>
  <si>
    <t>Under Sink Insta-Hot</t>
  </si>
  <si>
    <t xml:space="preserve">-Supply and install insta-hot under sink.  
-Must have 120V or 240V power and water supply to connect heater.  </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</si>
  <si>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
The Silver package includes:
Owner Supplied or Reuse of Existing Parts:
-Shut off valve
-Supply lines
Contractor Supplied:
-Water heater
-Earthquake straps
-Sediment trap
-Insulation for supply lines
-Drip pan piped to the floor
-Required permit
Labor:
-Drain existing water heater and haul off
-Installation of new water heater, owner supplied and contractor supplied parts.
Warranty: 
-Silver package warranty covers the water heater and contractor supplied parts.
-6 year heater
-1 year labor  
Exclusions:  
-Pricing can change if a special heater such as power vent or direct vent is required.
-Pricing can change if location of the heater is inconvenient or difficult to get to. 
-Heaters not on the first level will be an additional charge.  
</t>
  </si>
  <si>
    <t>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
The Gold package includes:
Owner Supplied or Reuse of Existing Parts:
-No owner supplied parts
Contractor Supplied:
-Water heater
-Earthquake straps
-Sediment trap
-Shut off valve
-Supply lines (insulated)
-Drip pan piped to the floor
-Required permit
Labor:
-Drain existing water heater and haul off
-Installation of new water heater, owner supplied and contractor supplied parts.
Warranty: 
-Gold package warranty covers the water heater and contractor supplied parts.
-6 year heater
-1 year labor  
Exclusions:  
-Pricing can change if a special heater such as power vent or direct vent is required.
-Pricing can change if location of the heater is inconvenient or difficult to get to. 
-Heaters not on the first level will be an additional charge.</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</si>
  <si>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
The Platinum package includes:
Owner Supplied or Reuse of Existing Parts:
-No owner supplied parts
Contractor Supplied:
-Water heater
-Earthquake straps
-Sediment trap
-Shut off valve
-Supply lines (insulated)
-Drip pan piped to the floor
-Required permit
Labor:
-Drain existing water heater and haul off
-Installation of new water heater, owner supplied and contractor supplied parts.
Warranty: 
-Platinum package warranty covers the water heater and contractor supplied parts.
-6 year heater
-6 year labor  
Exclusions:  
-Pricing can change if a special heater such as power vent or direct vent is required.
-Pricing can change if location of the heater is inconvenient or difficult to get to. 
-Heaters not on the first level will be an additional charge.  </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</si>
  <si>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
The Gold package includes:
Owner Supplied or Reuse of Existing Parts:
-No owner supplied parts
Contractor Supplied:
-Water heater
-Earthquake straps
-Sediment trap
-Shut off valve
-Supply lines (insulated)
-Drip pan piped to the floor
-Required permit
Labor:
-Drain existing water heater and haul off
-Installation of new water heater, owner supplied and contractor supplied parts.
Warranty: 
-Gold package warranty covers the water heater and contractor supplied parts.
-6 year heater
-1 year labor  
Exclusions:  
-Pricing can change if a special heater such as power vent or direct vent is required.
-Pricing can change if location of the heater is inconvenient or difficult to get to. 
-Heaters not on the first level will be an additional charge.  </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</si>
  <si>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lines._x000D_
_x000D_
The Silver package includes:_x000D_
_x000D_
Owner Supplied or Reuse of Existing Parts:_x000D_
-Shut off valve_x000D_
-Supply lines_x000D_
_x000D_
Contractor Supplied:_x000D_
-Water heater_x000D_
-Earthquake straps_x000D_
-Sediment trap_x000D_
-Insulation for supply lines_x000D_
-Drip pan piped to the floor_x000D_
-Required permit_x000D_
_x000D_
Labor:_x000D_
-Drain existing water heater and haul off_x000D_
-Installation of new water heater, owner supplied and contractor supplied parts._x000D_
_x000D_
Warranty: _x000D_
-Silver package warranty covers the water heater and contractor supplied parts._x000D_
-6 year heater_x000D_
-1 year labor  _x000D_
_x000D_
Exclusions:  _x000D_
-Pricing can change if a special heater such as power vent or direct vent is required._x000D_
-Pricing can change if location of the heater is inconvenient or difficult to get to. _x000D_
-Heaters not on the first level will be an additional charge.  _x000D_
</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</si>
  <si>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lines._x000D_
_x000D_
The Gold package includes:_x000D_
_x000D_
Owner Supplied or Reuse of Existing Parts:_x000D_
-No owner supplied parts_x000D_
_x000D_
Contractor Supplied:_x000D_
-Water heater_x000D_
-Earthquake straps_x000D_
-Sediment trap_x000D_
-Shut off valve_x000D_
-Supply lines (insulated)_x000D_
-Drip pan piped to the floor_x000D_
-Required permit_x000D_
_x000D_
Labor:_x000D_
-Drain existing water heater and haul off_x000D_
-Installation of new water heater, owner supplied and contractor supplied parts._x000D_
_x000D_
Warranty: _x000D_
-Gold package warranty covers the water heater and contractor supplied parts._x000D_
-6 year heater_x000D_
-1 year labor  _x000D_
_x000D_
Exclusions:  _x000D_
-Pricing can change if a special heater such as power vent or direct vent is required._x000D_
-Pricing can change if location of the heater is inconvenient or difficult to get to. _x000D_
-Heaters not on the first level will be an additional charge.  </t>
  </si>
  <si>
    <t xml:space="preserve">Replace the water heater in your house with a new water heater. Our professionals use only well respected professional brands (such as Ruud, Bradford White and Rheem) to insure you get many years of trouble free operation.  All of our heater packagers include the REQUIRED PERMIT. To pass inspection all heaters must have earthquake straps, sediment trap and insulated supply lines.
The Gold package includes:
Owner Supplied or Reuse of Existing Parts:
-No owner supplied parts
Contractor Supplied:
-Water heater
-Earthquake straps
-Sediment trap
-Shut off valve
-Supply lines (insulated)
-Drip pan piped to the floor
-Required permit
Labor:
-Drain existing water heater and haul off
-Installation of new water heater, owner supplied and contractor supplied parts.
Warranty: 
-Platinum package warranty covers the water heater and contractor supplied parts.
-6 year heater
-6 year labor  
Exclusions:  
-Pricing can change if a special heater such as power vent or direct vent is required.
-Pricing can change if location of the heater is inconvenient or difficult to get to. 
-Heaters not on the first level will be an additional charge.  </t>
  </si>
  <si>
    <t xml:space="preserve">All heaters installed need to be up to code and are required to have a permit pulled. To pass inspection your heater must have gas sediment trap, earthquake straps and insulation on supply lines. _x000D_
_x000D_
This Package Includes:_x000D_
_x000D_
Owner supplied or reuse of existing parts:_x000D_
-Water Heater_x000D_
-Sediment Trap_x000D_
-Supply Lines (Insulated)_x000D_
-Earthquake Straps _x000D_
_x000D_
Contractor supplied:_x000D_
-Required Permit_x000D_
_x000D_
Labor:_x000D_
-Drain old water heater and haul off_x000D_
-Installation of owner supplied parts._x000D_
_x000D_
*We do not offer warranties on owner supplied parts. </t>
  </si>
  <si>
    <t>All heaters installed need to be up to code and are required to have a permit pulled. To pass inspection your heater must have gas sediment trap, earthquake straps and insulation on supply lines. 
This Package Includes:
*Owner Supplied:
-Water Heater
*Contractor Supplied:
-Gas Sediment Trap
-Earthquake Straps
-Supply Lines (Insulated)
-Drip Pan piped to the floor.
-Required Permit.
Labor:
-Drain and haul off old heater
-Installation of both owner supplied and contractor supplied parts
*Warranty
-1 Year Parts
-1 Year Labor</t>
  </si>
  <si>
    <t>All heaters installed need to be up to code and are required to have a permit pulled. To pass inspection your heater must have gas sediment trap, earthquake straps and insulation on supply lines. _x000D_
This Package Includes:_x000D_
_x000D_
*Owner Supplied:_x000D_
-Water Heater_x000D_
_x000D_
*Contractor Supplied:_x000D_
-Gas Sediment Trap_x000D_
-Earthquake Straps_x000D_
-Supply Lines (Insulated)_x000D_
-Drip Pan piped to the floor._x000D_
-Required Permit._x000D_
_x000D_
Labor:_x000D_
-Drain and haul off old heater_x000D_
-Installation of both owner supplied and contractor supplied parts_x000D_
_x000D_
*Warranty_x000D_
-1 Year Parts_x000D_
-1 Year Labor</t>
  </si>
  <si>
    <t>All heaters installed need to be up to code and are required to have a permit pulled. To pass inspection your heater must have gas sediment trap, earthquake straps and insulation on supply lines. _x000D_
_x000D_
This Package Includes:_x000D_
_x000D_
Owner supplied or reuse of existing parts:_x000D_
-No owner supplied parts_x000D_
_x000D_
Contractor supplied:_x000D_
-Heater warranty swap out_x000D_
-Gas sediment trap_x000D_
-Earthquake straps_x000D_
-Supply lines (insulated)_x000D_
-Drip pan piped to floor_x000D_
-Required Permit_x000D_
_x000D_
Labor:_x000D_
-Drain old water heater and haul off_x000D_
-Installation of all contractor supplied parts_x000D_
_x000D_
Warranty: _x000D_
-No parts (your new heater will not get a new 6 year warranty)_x000D_
-1 Year Labor</t>
  </si>
  <si>
    <t>Truck Stock</t>
  </si>
  <si>
    <t>Dignity knows that keeping fully stocked vans with the items necessary to make the most common repairs is vital to being efficient. Doing so we also offer you the opportunity to buy these items when we have a plumber on site. 
Exclusions:
-All though we try our best sometimes we are out of stock on some of the items.
=Brands may vary from the item shown in picture.</t>
  </si>
  <si>
    <t>2" Flapper</t>
  </si>
  <si>
    <t>3" Flapper</t>
  </si>
  <si>
    <t>Toilet Rebuild Kit</t>
  </si>
  <si>
    <t>Flush Valve</t>
  </si>
  <si>
    <t>3/4 PRV</t>
  </si>
  <si>
    <t>1 inch PRV</t>
  </si>
  <si>
    <t>Toilet Supply Line</t>
  </si>
  <si>
    <t>1/2 HP Garbage Disposal</t>
  </si>
  <si>
    <t>3/4 HP Garbage Disposal</t>
  </si>
  <si>
    <t>3/4" Supply Line 18"</t>
  </si>
  <si>
    <t>3/4" Supply Line 24"</t>
  </si>
  <si>
    <t>1" Supply Line 18"</t>
  </si>
  <si>
    <t>1" Supply Line 24"</t>
  </si>
  <si>
    <t>3/4" Gas Flex Line 12"-24"</t>
  </si>
  <si>
    <t>3/4" Gas Line 24"-36"</t>
  </si>
  <si>
    <t>1/2" Single Outlet Angle Stop</t>
  </si>
  <si>
    <t>Double outlet 1/'2" Angle Stop</t>
  </si>
  <si>
    <t>3/4" Ball Valve</t>
  </si>
  <si>
    <t>Moen Kitchen Faucet Stainless</t>
  </si>
  <si>
    <t xml:space="preserve">Dignity knows that keeping fully stocked vans with the items necessary to make the most common repairs is vital to being efficient. Doing so we also offer you the opportunity to buy these items when we have a plumber on site. 
Exclusions:
-All though we try our best sometimes we are out of stock on some of the items.
</t>
  </si>
  <si>
    <t>Moen Kitchen Faucet Chrome</t>
  </si>
  <si>
    <t>Moen Bathroom Faucet Brushed Nickel</t>
  </si>
  <si>
    <t>Dignity knows that keeping fully stocked vans with the items necessary to make the most common repairs is vital to being efficient. Doing so we also offer you the opportunity to buy these items when we have a plumber on site. 
Exclusions:
-All though we try our best sometimes we are out of stock on some of the items.</t>
  </si>
  <si>
    <t>Moen Bathroom Faucet Chrome</t>
  </si>
  <si>
    <t xml:space="preserve">Have a professional from the Dignity team replace your T &amp; P Relief Valve.
Owner Supplied:
-No owner supplied parts
-Contractor Supplied:
-T &amp; P Relief Valve
Labor:
-Remove existing T &amp; P and haul off
-Install new T &amp; P
Warranty:
-1 year parts
-1 year labor
Exclusions:
-Must be reasonably accessible </t>
  </si>
  <si>
    <t xml:space="preserve">Supply and install new International Filter 50k water softener. 
Owner Supplied 
-No owner supplied parts
Contractor Supplied:
-Water softener (Proper size)
-Supply lines
-2 bags of salt
-Conditioner
Labor:
-Removal and haul off of existing softener.
-Install and connect new supplied softener.
Warranty: 
-5 year parts
-1 year labor
Exclusions:  
-Loop and drain line must be in place. 
-Pricing can change if location of the softener is inconvenient or difficult to get to. 
-Softeners not on the ground level will be an additional charge.  </t>
  </si>
  <si>
    <t xml:space="preserve">Supply and install new International Filter 32k water softener. 
Owner Supplied 
-No owner supplied parts
Contractor Supplied:
-Water softener (Proper size)
-Supply lines
-2 bags of salt
-Conditioner
Labor:
-Removal and haul off of existing softener.
-Install and connect new supplied softener.
Warranty: 
-5 year parts
-1 year labor
Exclusions:  
-Loop and drain line must be in place. 
-Pricing can change if location of the softener is inconvenient or difficult to get to. 
-Softeners not on the ground level will be an additional charge.  </t>
  </si>
  <si>
    <t xml:space="preserve">Supply and install new International Filter 75k water softener. 
Owner Supplied 
-No owner supplied parts
Contractor Supplied:
-Water softener (Proper size)
-Supply lines
-2 bags of salt
-Conditioner
Labor:
-Removal and haul off of existing softener.
-Install and connect new supplied softener.
Warranty: 
-5 year parts
-1 year labor
Exclusions:  
-Loop and drain line must be in place. 
-Pricing can change if location of the softener is inconvenient or difficult to get to. 
-Softeners not on the ground level will be an additional charge.  </t>
  </si>
  <si>
    <t>Supply and install new International Filter 4 Stage Reverse Osmosis System. _x000D_
_x000D_
Owner Supplied _x000D_
-No owner supplied parts_x000D_
_x000D_
Contractor Supplied:_x000D_
-4 Stage RO system_x000D_
-Supply lines_x000D_
-New angle stops_x000D_
-Drain lines_x000D_
-Faucet_x000D_
_x000D_
Labor:_x000D_
-Removal and haul off of existing system_x000D_
-Install and connect all contractor supplied parts._x000D_
_x000D_
Warranty: _x000D_
-1 year parts_x000D_
-1 year labor_x000D_
_x000D_
Exclusions:   _x000D_
-Pricing can change if location of the system is inconvenient or difficult to get to.   _x000D_
-Underneath the sink must be cleared out and ready to except the new system._x000D_
-Standard faucet comes with this package, fancy faucets will be an additional charge.</t>
  </si>
  <si>
    <t>Supply and install new International Filter 5 Stage Reverse Osmosis System. _x000D_
_x000D_
Owner Supplied _x000D_
-No owner supplied parts_x000D_
_x000D_
Contractor Supplied:_x000D_
-5 Stage RO system_x000D_
-Supply lines_x000D_
-New angle stops_x000D_
-Drain lines_x000D_
-Faucet_x000D_
_x000D_
Labor:_x000D_
-Removal and haul off of existing system_x000D_
-Install and connect all contractor supplied parts._x000D_
_x000D_
Warranty: _x000D_
-1 year parts_x000D_
-1 year labor_x000D_
_x000D_
Exclusions:   _x000D_
-Pricing can change if location of the system is inconvenient or difficult to get to.   _x000D_
-Underneath the sink must be cleared out and ready to except the new system._x000D_
-Standard faucet comes with this package, fancy faucets will be an additional charge.</t>
  </si>
  <si>
    <t xml:space="preserve">CHEMICAL FREE whole house filtration! _x000D_
Install a chemical free whole house filtration system on your home to protect your big investment, cook, clean and drink healthier water. _x000D_
_x000D_
-Must have a pre plumbed loop or additional charges will incur. _x000D_
_x000D_
Owner supplied parts:_x000D_
-No owner supplied parts_x000D_
_x000D_
Contractor supplied parts:_x000D_
-Core Pro Water Treatment System_x000D_
-Parts needed to make connection to water system_x000D_
-Supply lines_x000D_
_x000D_
Labor:_x000D_
-Remove old system and haul off if there is one_x000D_
-Install all contractor supplied parts for a complete system_x000D_
-Test system for efficiency and leaks._x000D_
_x000D_
Warranty:_x000D_
-5 Year parts_x000D_
-1 Year labor_x000D_
_x000D_
Warnings: May notice drop in water pressure._x000D_
_x000D_
Exclusions:_x000D_
-Filtration systems that will be installed on any other level than ground floor will be additional charge._x000D_
_x000D_
_x000D_
_x000D_
_x000D_
</t>
  </si>
  <si>
    <t>NEVER run out of hot water again with a Navien tank-less water heater.
Owner Supplied 
-No owner supplied parts
Contractor Supplied:
-Tank-less heater
-Supply lines
-Gas lines
-Venting
-Misc. parts needed to complete system install
Labor:
-Removal and haul off of existing heater.
-Install all contractor supplied parts.
Warranty: 
-6 year parts
-1 year labor
Exclusions:  
-Connection point to water system must be in place already.
-Pricing can change if location of the heater is inconvenient or difficult to get to. 
-Heaters not on the ground level will be an additional charge.  
-Must have an electrical outlet withing 5' of heater.</t>
  </si>
  <si>
    <t>Have your drains inspected with a high quality camera. 
-Receive video of the entire recording.
-Receive pictures of the problem if a problem exist.
-Recommend repairs if a problem is found.</t>
  </si>
  <si>
    <t xml:space="preserve">Locate your sewer line using high quality locator to provide exact location and depth of your sewer.
-Send chaser down sewer line.
-Use locator to provide exact location and depth of line.
-Mark on ground locations every 15'
**Max distance of sewer 100'.
**Any lines over 100' will be additional charge. </t>
  </si>
  <si>
    <t>Replace Sloan flush valve.</t>
  </si>
  <si>
    <t>Supply and install new basket strainer for kitchen sink drain.</t>
  </si>
  <si>
    <t>Kitchen Faucet W/Pull Out Sprayer - Basic</t>
  </si>
  <si>
    <t>Single handle faucet with pull out sprayer.</t>
  </si>
  <si>
    <t>Kitchen Faucet W/Pull Down High Arc Sprayer - Good</t>
  </si>
  <si>
    <t xml:space="preserve">Supply and install a single handle high arc pull down sprayer. _x000D_
</t>
  </si>
  <si>
    <t>Supply and install 1 shut off valve and one supply line.</t>
  </si>
  <si>
    <t>Supply and install 2 new shut off valves and 2 new supply lines.</t>
  </si>
  <si>
    <t>Replace 1 part of plastic drain under sink.</t>
  </si>
  <si>
    <t>Replace all plastic parts of drain under sink.</t>
  </si>
  <si>
    <t>Supply and install complete new drain under sink including all plastic pieces and basket strainer.</t>
  </si>
  <si>
    <t>Supply and install new kitchen air gap. (Hole must be existing)</t>
  </si>
  <si>
    <t>Replace or install new ice maker shut off valve. (Must have existing connections)</t>
  </si>
  <si>
    <t>Bathroom Cartridge (standard) Moen/Delta</t>
  </si>
  <si>
    <t xml:space="preserve">Replace Moen Cartridge </t>
  </si>
  <si>
    <t xml:space="preserve">Supply and install standard finish tub spout. </t>
  </si>
  <si>
    <t>Supply and install shower valve and copper fittings. (Standard brands)</t>
  </si>
  <si>
    <t>-Install owner supplied 1 piece Lav faucet. 
-Existing holes and existing connections.</t>
  </si>
  <si>
    <t>-Install owner supplied 3 piece lav faucet. 
-Existing holes and connections.</t>
  </si>
  <si>
    <t>Supply owner installed shower head. (Simple install with no drilling required)</t>
  </si>
  <si>
    <t>Install owner supplied shower trim kit. (3 piece max &amp; must fit existing connections)</t>
  </si>
  <si>
    <t>Minor Toilet Rebuild (1 Minor Part)</t>
  </si>
  <si>
    <t>Supply and install 1 minor part to toilet. Chain, chrome handle or flapper.</t>
  </si>
  <si>
    <t>Replace 1 plastic part for bathroom sink drain.</t>
  </si>
  <si>
    <t>Replace all plastic parts to bathroom drain under sink.</t>
  </si>
  <si>
    <t>Supply and install 1 shut off valve and supply line.</t>
  </si>
  <si>
    <t>Supply and install 2 shut off valve and supply lines.</t>
  </si>
  <si>
    <t>Single Handle Hot And Cold Valves</t>
  </si>
  <si>
    <t xml:space="preserve">Supply and install new laundry valve. This is a single lever valve for both hot and cold controlled simultaneously. </t>
  </si>
  <si>
    <t>Install new gas control valve for water heater.</t>
  </si>
  <si>
    <t>Pull toilet and replace wax ring.</t>
  </si>
  <si>
    <t>Run jetting machine through house branch lines up to 75â€™ to clean drain lines. 
*Includes 6 month warranty*
*Warranty becomes void if camera inspection shows irregular bends/breaks in pipe or any foreign objects lodged in pipe, including: "flushable" wipes, toys, etc.*</t>
  </si>
  <si>
    <t>Run cable through overflow to clear tub stoppage.</t>
  </si>
  <si>
    <t>Install new pump with new check valve, shutoff valves x2, new piping. Insulation of piping</t>
  </si>
  <si>
    <t xml:space="preserve">Removed drain connections and reinstalled with new putty and installed new overflow gasket </t>
  </si>
  <si>
    <t xml:space="preserve">Replaced vapor sensor at water heater </t>
  </si>
  <si>
    <t>Supply and install new 3/4" gas valve.</t>
  </si>
  <si>
    <t>1/2â€ Gas Valve</t>
  </si>
  <si>
    <t>Supply and install new gas valve. 1/2â€</t>
  </si>
  <si>
    <t>Commercial Gas</t>
  </si>
  <si>
    <t>1 1/2" - 2" Gas Valve</t>
  </si>
  <si>
    <t xml:space="preserve">Supply and install 1 1/2" - 2" gas valve. </t>
  </si>
  <si>
    <t xml:space="preserve">Supply and install 1/2" gas valve and 36" flex line. </t>
  </si>
  <si>
    <t xml:space="preserve">Replace maniblock system in laundry room with new pipe connections tested no leaks </t>
  </si>
  <si>
    <t>Install new gas sediment trap at water heater.</t>
  </si>
  <si>
    <t>Remove existing water heater and install new heater with new valve, new copper fittings and supply lines</t>
  </si>
  <si>
    <t>Drain water and add chemicals to break down calcium buildup</t>
  </si>
  <si>
    <t>Install temporary water heater stand with water lines and venting</t>
  </si>
  <si>
    <t>Due to issue with having I know leaks and causing damage to your house. Moen has designed a smart water shut off valve. It adapts with you usage and is able to dertermine if there are leaks. It comes with a mobile app and WiFi connection.
Plumber will provide smart Moen flo unit 
Plumber will provide all materials and install unit to house.
Plumber will also help Customer download the app and link unit with phone.
Unit is cover under moens warranty
Plumber provides 1 yr labor warrnty</t>
  </si>
  <si>
    <t>To supply and replace 30 gallon electric water heater underneath kitchen countertop in order to do so they will have to call somebody out to remove the countertops before I install water heater as it is too big to take out of the cabinet without taking the countertop off. Will install new tank as well as new flex lines in new connections for TMP line and new electrical connections for the wires as well as add a safety pan to bring water heater up to code. Price includes parts and labor.</t>
  </si>
  <si>
    <t>To install owner supplied garbage disposal which includes strainer connection and all necessary drain connections to go to disposal includes any necessary parts and labor</t>
  </si>
  <si>
    <t>Supply and install new whole house water filtration system includes all necessary parts and connections to the main loop in the house to provide clean water coming into a house to feed both hot and cold lines price includes parts and labor and installation installation of the unit as well as a 10 year warranty through the manufacture one year parts and labor warranty.</t>
  </si>
  <si>
    <t>Owner Supplied Bidet</t>
  </si>
  <si>
    <t xml:space="preserve">Supply and install owner supplied bidet for underneath toilet seat  all parts are included labor included in price as well </t>
  </si>
  <si>
    <t>Kitchen Faucet Pull Down Sprayer Wave Sensor - Better</t>
  </si>
  <si>
    <t xml:space="preserve">Supply and install new Moen pull down faucet with wave sensor for touch free. </t>
  </si>
  <si>
    <t>50 Gallon Power Vent</t>
  </si>
  <si>
    <t>-Furnish and install 50 gallon power vent water heater up to code including new supply lines, ball valve, sediment trap and earthquake straps.</t>
  </si>
  <si>
    <t>Jetter Van/Hour (2 hour minimum)</t>
  </si>
  <si>
    <t>-Bring jetter van to residential property and jet main sewer line. 
-This price includes first 2 hours.
-$469 / hour after the first 2.
*Includes 6 month warranty*
*Warranty becomes void if camera inspection shows irregular bends/breaks in pipe or any foreign objects lodged in pipe, including: "flushable" wipes, toys, etc.*</t>
  </si>
  <si>
    <t>Navien 240A 199K (Larger Home with Recirc)</t>
  </si>
  <si>
    <t>Navien 240S 199K (Larger home with no recirc)</t>
  </si>
  <si>
    <t>2 Navien 240A 199K (Large home with smart sensor)</t>
  </si>
  <si>
    <t>1â€ Pressure Vacuum Breaker</t>
  </si>
  <si>
    <t>Supply and install brand new 1 inch pressure vacuum breaker will need to dig around area as the vacuum breaker is buried in the ground a little bit need a dig around around the surrounding area  and exposed piping extend piping upwards above ground bury dirt around the pipe and make all new connections including new pipe and fittings and the new vacuum breaker price includes parts and labor.</t>
  </si>
  <si>
    <t>Water Heater Flushes</t>
  </si>
  <si>
    <t>Tankless Water Heater Flush</t>
  </si>
  <si>
    <t>To flush out system for tankless water heater. Includes: 
-Hooking up an in-line and out-line to the bleeder valves with a pump. 
-Pump cleaner and conditioner to clean out burner assembly inside the system and any kind of corrosion thatâ€™s being built up inside the system.
-Will have to flush out the system and reset tinkle system to temperature settings press.
-Price includes all parts and labor.</t>
  </si>
  <si>
    <t>Power assist toilet</t>
  </si>
  <si>
    <t xml:space="preserve">Install new American standard toilet with new wax ring, and toilet seat comes with a 1yr parts and labor warranty </t>
  </si>
  <si>
    <t>Disconnect And Reconnect Water Softener</t>
  </si>
  <si>
    <t>Disconnect water softener from older house and transfer softener to new house and install new software with necessary connections.</t>
  </si>
  <si>
    <t>Disconnect Reverse Osmosis System</t>
  </si>
  <si>
    <t>Disconnect RO system and cap line off for now until they find the system they want to have installed price includes all labor and disposal of system.</t>
  </si>
  <si>
    <t>Reverse Osmosis System 3 Stage System</t>
  </si>
  <si>
    <t>Supply and install new three stage filtration system for reverse osmosis drinking water price includes parts and labor to install unit and disconnect the old unit and hauling away  old unit as well.</t>
  </si>
  <si>
    <t>Comfort Pump Install</t>
  </si>
  <si>
    <t>Supply and install new comfort pump for tub water heater and replaced supply line as well  and add the T fitting 22 locations in the house one at one office in in house and one of the other to create a nice loop for a constant hot water. Price includes parts and labor.</t>
  </si>
  <si>
    <t>Direct Vent 40 Gallon Water Heater Install</t>
  </si>
  <si>
    <t>To supply and replace water heater with a direct vent 40 gallon water heater includes all upgrades to bring water heater up to code including pan sediment trap straps and the venting to go outside instead of up includes permit as well price includes parts and labor.</t>
  </si>
  <si>
    <t>Pull And Reset Toilet And Re Caulk Seal</t>
  </si>
  <si>
    <t>Pull toilet and replace wax ring and seal to toilet to ensure the toilet no longer leaks and is tight to floor so if toilet did back up it wouldnâ€™t come out of side of toilet. Price includes parts and labor.</t>
  </si>
  <si>
    <t>Kitchen Faucet W/Pull Down and Voice Control - Best</t>
  </si>
  <si>
    <t>Control your Smart faucet with voice control, using the Moen app, or motion sense. 
Dispense precise measurements and temperatures with hands free convenience. 
Operates by giving specific voice commands. For example, "Alexa, dispense 1 cup of 90 degree water."
REQUIREMENTS FOR VOICE CONTROL: Smartphone, Amazon or Google Smart speaker, and Wireless Internet</t>
  </si>
  <si>
    <t>To supply and replace fill valve and flapper to ensure water leak stops and toilet stops running price includes parts and labor.</t>
  </si>
  <si>
    <t>50 Gal Power Vent, Owner Supplied Heater &amp; Contractor Supplied Install Parts</t>
  </si>
  <si>
    <t xml:space="preserve">All heaters installed need to be up to code and are required to have a permit pulled. To pass inspection your heater must have gas sediment trap, earthquake straps and insulation on supply lines. 
This Package Includes:
*Owner Supplied:
-Water Heater
*Contractor Supplied:
-Gas Sediment Trap
-Earthquake Straps
-Supply Lines (Insulated)
-Drip Pan piped to the floor.
-Required Permit.
Labor:
-Drain and haul off old heater
-Installation of both owner supplied and contractor supplied parts
*Warranty
-1 Year Parts
-1 Year Labor
</t>
  </si>
  <si>
    <t>Owner Supplied Tankless Water Heater</t>
  </si>
  <si>
    <t>Install customer supplied tankless heater reusing all existing connections (if possible) will haul away old unit. Price includes any kind of parts and labor.</t>
  </si>
  <si>
    <t>Owner Supplied Reverse Osmosis</t>
  </si>
  <si>
    <t>Install customer supply RO system in kitchen sink with recommended parts. 
Warranty: 
-1 year labor
Exclusions:   
-Counter and sink must be ready for system without any modifications or holes needing to be drilled. 
-Pricing can change if location of the system is inconvenient or difficult to get to.   
-Underneath the sink must be cleared out and ready to except the new system.</t>
  </si>
  <si>
    <t>Auger Toilet</t>
  </si>
  <si>
    <t>Auger toilet up to 9â€™ to clear blockage and build up inside toilet.</t>
  </si>
  <si>
    <t>Owner Supplied Kitchen Sink</t>
  </si>
  <si>
    <t>Install owner supplied sink with new single basin will reuse new disposal and drain fittings and will supply any necessary parts or fittings.</t>
  </si>
  <si>
    <t>Water Heater</t>
  </si>
  <si>
    <t>Check valve</t>
  </si>
  <si>
    <t>Install new 3/4â€ spring loaded check valve on return line at water heater</t>
  </si>
  <si>
    <t>Tankless Diagnosis</t>
  </si>
  <si>
    <t>75 Gallon Power Vent</t>
  </si>
  <si>
    <t xml:space="preserve">-Furnish and install 75 gallon power vent water heater up to code including new supply lines, ball valve, sediment trap and earthquake straps.
Labor:
-Drain existing water heater and haul off
-Installation of new water heater, owner supplied and contractor supplied parts.
Warranty: 
-Warranty covers the water heater and contractor supplied parts.
-6 year heater
-1 year labor  
</t>
  </si>
  <si>
    <t>Cut, Cap, &amp; Test</t>
  </si>
  <si>
    <t xml:space="preserve">Locate/isolate slab leak by performing cut, cap, &amp; test.
Based on our findings we will give you a price for recommended repair.  We will waive the fee if you have the repair performed by us.  Thank you for choosing Dignity Plumbing. </t>
  </si>
  <si>
    <t>Spot Repair</t>
  </si>
  <si>
    <t xml:space="preserve">Dig up and spot repair main outside waterline. </t>
  </si>
  <si>
    <t>40 - 50 Gallon Water Heater Flush</t>
  </si>
  <si>
    <t xml:space="preserve">Flush 40 or 50 gallon gas water heater and replace anode rod. </t>
  </si>
  <si>
    <t>Replace pop up assembly</t>
  </si>
  <si>
    <t>Owner Supplied Filtration System</t>
  </si>
  <si>
    <t>Install customer provided filtration system on loop in garage with new copper connections.</t>
  </si>
  <si>
    <t>Inspection</t>
  </si>
  <si>
    <t>Kitec Inspection</t>
  </si>
  <si>
    <t xml:space="preserve">Inspect home for kitec piping. </t>
  </si>
  <si>
    <t>New Home Inspection</t>
  </si>
  <si>
    <t>Garbage Disposal Hose</t>
  </si>
  <si>
    <t xml:space="preserve">Replace 7/8" black air gap drain hose for garbage disposal. </t>
  </si>
  <si>
    <t>Service Call</t>
  </si>
  <si>
    <t xml:space="preserve">Resolve the plumbing need in one hour or less. </t>
  </si>
  <si>
    <t>Drain Pan Install</t>
  </si>
  <si>
    <t>Install owner supplied drain pan for washing machine.</t>
  </si>
  <si>
    <t>New Home Inspection w/ Camera</t>
  </si>
  <si>
    <t>Relight Pilot Light</t>
  </si>
  <si>
    <t>Whole House Re-pipe</t>
  </si>
  <si>
    <t>To re-pipe both hot &amp; cold lines will include:
--Access drywall, tarping all areas where we will be cutting drywall.
-Will require up to XXX holes in drywall, maximum.
-We will have to uninstall water heater to access hot &amp; cold lines and to access the main water line. 
-We will start drilling holes through framing to run pipe overhead, with access from the laundry room. 
-All lines will be strapped and insulated.
-All pipe will be ran in pro-pex with a manufacturer warranty of 25 years. 
-Pull permit &amp; schedule inspection.
*All drywall will be cut with a level for perfect squares.*
*Not responsible for drywall repair.*
**Price will include a Dignity Plumbing warranty of 1 year parts &amp; labor.**</t>
  </si>
  <si>
    <t>Memberships</t>
  </si>
  <si>
    <t>Basic</t>
  </si>
  <si>
    <t>On your visit (1/year):
-Water Heater Flush w/ Anode Rod Replacement ($248 value)
-Complete Visual Plumbing Inspection ($228 value)
-Meter Test to Ensure No Leaks ($198)
-Recommended Repair List
-10% off Any Repairs Made Same Day
Other Perks:
-No Diagnosing Fee ($48/trip value)
-Front of the Line Service Within 48 Hours
-Quarterly Emails with Tips to Protect Your Plumbing
MINIMUM VALUE: $674 
COST: $14/month</t>
  </si>
  <si>
    <t>Deluxe</t>
  </si>
  <si>
    <t>On your visit (1/year):
-Water Heater Flush w/ Anode Rod Replacement ($248 value)
-Water Chlorine Test ($198 value)
-Test Shut Off Valves ($198 value)
-Disconnect P-Traps, Clean Out, &amp; Reinstall ($228 value)
-Complete Visual Plumbing Inspection ($228 value)
-Meter Test to Ensure No Leaks ($198)
-Recommended Repair List
-10% off Any Repairs Made Same Day
Other Perks:
-No Diagnosing Fee ($48/trip value)
-Front of the Line Service Within 48 Hours
-Quarterly Emails with Tips to Protect Your Plumbing
MINIMUM VALUE: $1,298
COST: $38/month</t>
  </si>
  <si>
    <t>Premier</t>
  </si>
  <si>
    <t>On your visit (1/year):
-Water Heater Flush w/ Anode Rod Replacement ($248 value)
-Water Chlorine Test ($198 value)
-Test Shut Off Valves ($198 value)
-Disconnect P-Traps, Clean Out, &amp; Reinstall ($228 value)
-Camera Inspection on Sewer from Clean Out to Street, Receive Footage ($358 value)
-Jet Kitchen Line ($348 Value)
-Jet Main Line from Clean Out to Street Connection ($828 value)
-Complete Visual Plumbing Inspection ($228 value)
-Meter Test to Ensure No Leaks ($198)
-Recommended Repair List
-10% off Any Repairs Made Same Day
Other Perks:
-No Diagnosing Fee ($48/trip value)
-No Emergency Fee ($148/trip value)
-Front of the Line Service Within 24 Hours
-10% off All Repairs or Installs Throughout the Year
-Quarterly Emails with Tips to Protect Your Plumbing
MINIMUM VALUE: $2,832
COST: $98/month</t>
  </si>
  <si>
    <t>Warranties</t>
  </si>
  <si>
    <t>Dignity Plumbing Warranty</t>
  </si>
  <si>
    <t>*One Year Parts &amp; Labor*</t>
  </si>
  <si>
    <t>Hot-Side Re-Pipe</t>
  </si>
  <si>
    <t>Will need to re-pipe all hotlines to X fixtures in the home, this will include: 
-Access drywall, tarping all areas where we will be cutting drywall.
-Will require up to XX holes in drywall, maximum.
-We will start drilling holes through framing to run pipe overhead. 
-All lines will be strapped and insulated.
-All pipe will be ran in pro-pex with a manufacturer warranty of 25 years. 
-Will need to cut through tile in either master bathroom or guest bathroom to supply hot water to fixtures, because bathrooms are back to back
-This will take X technicians, X-X days to complete.
*All drywall will be cut with a level for perfect squares.*
*Not responsible for drywall repair.*
*Price will include a Dignity Plumbing warranty of 1 year parts &amp; labor.*</t>
  </si>
  <si>
    <t>Whole House Sewer Replacement</t>
  </si>
  <si>
    <t>To replace the entire property cast iron sewer system with 3inch pvc tied into the main on the front of the property at the front of the house, will include:
-Tarping off sections of the property that will require floor and concrete removal. 
-We will be jackhammering concrete and excavating in one bathroom, tunneling under walls to 2nd bathroom, kitchen, and under tub. We will need to remove toilet and vanity in bathroom where excavation is taking place.
-Will need to jackhammer concrete &amp; excavate in laundry room to access and replace drain system. 
-We will be connecting back into the galvanized venting system behind the walls or underneath the property.
-All drain lines will be coming out in the front of the property underground through the footing connecting to the main system out front. 
-All drains will include cleanouts/caps. 
-Will install a two-way 3" clean out in the front of the property for future services. 
-Will shade the system with type two sand and will test the system. 
-Will pull permit &amp; schedule city inspection.
-Upon completion of passing inspection, we will backfill compact dirt and pour back rough repair of concrete.
*Not responsible for flooring replacement or drywall repair.*
*Excavation &amp; backfill are subcontracted, included in this price.*</t>
  </si>
  <si>
    <t>Sewer Replacement - From Clean Out to Street</t>
  </si>
  <si>
    <t>To replace sewer:
-3" of sewer main approximately 43' long from city sidewalk to clean out. 
-We will install with PVC piping at the 2 way clean out. 
-Make transitional fitting at city section.
-Embed with sand. 
-Test the line.
-Pull permit &amp; schedule inspection. 
-Backfill with native soil after passing inspection. 
*Includes Dignity Plumbing warranty of 1 year parts &amp; labor.*
*Excavation &amp; backfill are subcontracted, included in this price.*</t>
  </si>
  <si>
    <t>HCP Pricing</t>
  </si>
  <si>
    <t>Profit</t>
  </si>
  <si>
    <t xml:space="preserve">Supply and install the Vormax from American Standard.  This self cleaning, powerful flushing toilet is ADA height and elongated for comfort.  
Owner Supplied: 
-No owner supplied parts
Contractor Supplied:
-Toilet
-Wax Ring
-Angle Stop
-Supply Line
Labor:
-Remove and haul off of old toilet
-Install all contractor supplied parts
Warranty:
-1 year parts
-1 year labor
Exclusions:
-Toilets installed above 2nd floor will be additional charge. ($25 per floor)
</t>
  </si>
  <si>
    <t>Halo Filtration system</t>
  </si>
  <si>
    <t>Tech 1</t>
  </si>
  <si>
    <t>Tech 2</t>
  </si>
  <si>
    <t>Tech 4</t>
  </si>
  <si>
    <t>Tech 6</t>
  </si>
  <si>
    <t>Owner</t>
  </si>
  <si>
    <t>Ops Manager</t>
  </si>
  <si>
    <t>Serv Manager</t>
  </si>
  <si>
    <t>Lead Disp</t>
  </si>
  <si>
    <t>Disp</t>
  </si>
  <si>
    <t xml:space="preserve">Marketing </t>
  </si>
  <si>
    <t>Status Check</t>
  </si>
  <si>
    <t>Ap1</t>
  </si>
  <si>
    <t>Ap2</t>
  </si>
  <si>
    <t>Off Manager</t>
  </si>
  <si>
    <t>Ap3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</si>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</sst>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0"/>
      <color theme="1"/>
      <name val="Arial"/>
      <family val="2"/>
    </font>
    <font>
      <i/>
      <sz val="11"/>
      <color theme="1"/>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3" tint="0.39997558519241921"/>
        <bgColor indexed="64"/>
      </patternFill>
    </fill>
    <fill>
      <patternFill patternType="solid">
        <fgColor rgb="FFFFC000"/>
        <bgColor indexed="64"/>
      </patternFill>
    </fill>
    <fill>
      <patternFill patternType="solid">
        <fgColor theme="9"/>
        <bgColor indexed="64"/>
      </patternFill>
    </fill>
    <fill>
      <patternFill patternType="solid">
        <fgColor theme="8" tint="0.59999389629810485"/>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162">
    <xf numFmtId="0" fontId="0" fillId="0" borderId="0" xfId="0"/>
    <xf numFmtId="0" fontId="0" fillId="33" borderId="0" xfId="0" applyFill="1"/>
    <xf numFmtId="0" fontId="0" fillId="0" borderId="10" xfId="0" applyBorder="1"/>
    <xf numFmtId="8" fontId="0" fillId="33" borderId="10" xfId="0" applyNumberFormat="1" applyFill="1" applyBorder="1"/>
    <xf numFmtId="0" fontId="16" fillId="0" borderId="10" xfId="0" applyFont="1" applyBorder="1"/>
    <xf numFmtId="0" fontId="16" fillId="33" borderId="10" xfId="0" applyFont="1" applyFill="1" applyBorder="1"/>
    <xf numFmtId="8" fontId="16" fillId="33" borderId="10" xfId="0" applyNumberFormat="1" applyFont="1" applyFill="1" applyBorder="1"/>
    <xf numFmtId="0" fontId="0" fillId="0" borderId="0" xfId="0" applyBorder="1"/>
    <xf numFmtId="8" fontId="0" fillId="33" borderId="0" xfId="0" applyNumberFormat="1" applyFill="1" applyBorder="1"/>
    <xf numFmtId="0" fontId="16" fillId="34" borderId="10" xfId="0" applyFont="1" applyFill="1" applyBorder="1"/>
    <xf numFmtId="8" fontId="0" fillId="34" borderId="10" xfId="0" applyNumberFormat="1" applyFill="1" applyBorder="1"/>
    <xf numFmtId="164" fontId="0" fillId="34" borderId="10" xfId="0" applyNumberFormat="1" applyFill="1" applyBorder="1"/>
    <xf numFmtId="8" fontId="0" fillId="34" borderId="0" xfId="0" applyNumberFormat="1" applyFill="1" applyBorder="1"/>
    <xf numFmtId="164" fontId="0" fillId="34" borderId="0" xfId="0" applyNumberFormat="1" applyFill="1" applyBorder="1"/>
    <xf numFmtId="0" fontId="16" fillId="35" borderId="10" xfId="0" applyFont="1" applyFill="1" applyBorder="1"/>
    <xf numFmtId="0" fontId="0" fillId="35" borderId="10" xfId="0" applyFill="1" applyBorder="1"/>
    <xf numFmtId="0" fontId="0" fillId="35" borderId="0" xfId="0" applyFill="1" applyBorder="1"/>
    <xf numFmtId="0" fontId="16" fillId="37" borderId="10" xfId="0" applyFont="1" applyFill="1" applyBorder="1"/>
    <xf numFmtId="10" fontId="0" fillId="37" borderId="10" xfId="0" applyNumberFormat="1" applyFill="1" applyBorder="1"/>
    <xf numFmtId="10" fontId="0" fillId="37" borderId="0" xfId="0" applyNumberFormat="1" applyFill="1" applyBorder="1"/>
    <xf numFmtId="9" fontId="16" fillId="38" borderId="10" xfId="0" applyNumberFormat="1" applyFont="1" applyFill="1" applyBorder="1"/>
    <xf numFmtId="8" fontId="0" fillId="38" borderId="10" xfId="0" applyNumberFormat="1" applyFill="1" applyBorder="1"/>
    <xf numFmtId="8" fontId="0" fillId="38" borderId="0" xfId="0" applyNumberFormat="1" applyFill="1" applyBorder="1"/>
    <xf numFmtId="9" fontId="16" fillId="39" borderId="10" xfId="0" applyNumberFormat="1" applyFont="1" applyFill="1" applyBorder="1"/>
    <xf numFmtId="8" fontId="0" fillId="39" borderId="10" xfId="0" applyNumberFormat="1" applyFill="1" applyBorder="1"/>
    <xf numFmtId="8" fontId="0" fillId="39" borderId="0" xfId="0" applyNumberFormat="1" applyFill="1" applyBorder="1"/>
    <xf numFmtId="9" fontId="16" fillId="40" borderId="10" xfId="0" applyNumberFormat="1" applyFont="1" applyFill="1" applyBorder="1"/>
    <xf numFmtId="8" fontId="0" fillId="40" borderId="10" xfId="0" applyNumberFormat="1" applyFill="1" applyBorder="1"/>
    <xf numFmtId="8" fontId="0" fillId="40" borderId="0" xfId="0" applyNumberFormat="1" applyFill="1" applyBorder="1"/>
    <xf numFmtId="9" fontId="16" fillId="41" borderId="10" xfId="0" applyNumberFormat="1" applyFont="1" applyFill="1" applyBorder="1"/>
    <xf numFmtId="8" fontId="0" fillId="41" borderId="10" xfId="0" applyNumberFormat="1" applyFill="1" applyBorder="1"/>
    <xf numFmtId="8" fontId="0" fillId="41" borderId="0" xfId="0" applyNumberFormat="1" applyFill="1" applyBorder="1"/>
    <xf numFmtId="165" fontId="0" fillId="36" borderId="10" xfId="0" applyNumberFormat="1" applyFill="1" applyBorder="1"/>
    <xf numFmtId="165" fontId="0" fillId="35" borderId="10" xfId="0" applyNumberFormat="1" applyFill="1" applyBorder="1"/>
    <xf numFmtId="165" fontId="16" fillId="35" borderId="10" xfId="0" applyNumberFormat="1" applyFont="1" applyFill="1" applyBorder="1"/>
    <xf numFmtId="8" fontId="16" fillId="34" borderId="10" xfId="0" applyNumberFormat="1" applyFont="1" applyFill="1" applyBorder="1"/>
    <xf numFmtId="164" fontId="16" fillId="34" borderId="10" xfId="0" applyNumberFormat="1" applyFont="1" applyFill="1" applyBorder="1"/>
    <xf numFmtId="10" fontId="16" fillId="37" borderId="10" xfId="0" applyNumberFormat="1" applyFont="1" applyFill="1" applyBorder="1"/>
    <xf numFmtId="8" fontId="16" fillId="38" borderId="10" xfId="0" applyNumberFormat="1" applyFont="1" applyFill="1" applyBorder="1"/>
    <xf numFmtId="8" fontId="16" fillId="39" borderId="10" xfId="0" applyNumberFormat="1" applyFont="1" applyFill="1" applyBorder="1"/>
    <xf numFmtId="8" fontId="16" fillId="40" borderId="10" xfId="0" applyNumberFormat="1" applyFont="1" applyFill="1" applyBorder="1"/>
    <xf numFmtId="8" fontId="16" fillId="41" borderId="10" xfId="0" applyNumberFormat="1" applyFont="1" applyFill="1" applyBorder="1"/>
    <xf numFmtId="164" fontId="0" fillId="0" borderId="0" xfId="0" applyNumberFormat="1"/>
    <xf numFmtId="8" fontId="0" fillId="42" borderId="10" xfId="0" applyNumberFormat="1" applyFill="1" applyBorder="1"/>
    <xf numFmtId="8" fontId="14" fillId="34" borderId="10" xfId="0" applyNumberFormat="1" applyFont="1" applyFill="1" applyBorder="1"/>
    <xf numFmtId="164" fontId="14" fillId="34" borderId="10" xfId="0" applyNumberFormat="1" applyFont="1" applyFill="1" applyBorder="1"/>
    <xf numFmtId="8" fontId="0" fillId="34" borderId="10" xfId="0" applyNumberFormat="1" applyFont="1" applyFill="1" applyBorder="1"/>
    <xf numFmtId="164" fontId="0" fillId="34" borderId="10" xfId="0" applyNumberFormat="1" applyFont="1" applyFill="1" applyBorder="1"/>
    <xf numFmtId="164" fontId="0" fillId="0" borderId="10" xfId="0" applyNumberFormat="1" applyBorder="1"/>
    <xf numFmtId="0" fontId="0" fillId="0" borderId="10" xfId="0" applyFill="1" applyBorder="1"/>
    <xf numFmtId="0" fontId="0" fillId="43" borderId="10" xfId="0" applyFill="1" applyBorder="1"/>
    <xf numFmtId="0" fontId="0" fillId="0" borderId="10" xfId="0" applyBorder="1" applyAlignment="1">
      <alignment horizontal="center"/>
    </xf>
    <xf numFmtId="0" fontId="0" fillId="0" borderId="10" xfId="0" applyBorder="1" applyAlignment="1">
      <alignment horizontal="left"/>
    </xf>
    <xf numFmtId="6" fontId="0" fillId="0" borderId="10" xfId="0" applyNumberFormat="1" applyBorder="1"/>
    <xf numFmtId="0" fontId="0" fillId="44" borderId="0" xfId="0" applyFill="1"/>
    <xf numFmtId="0" fontId="18" fillId="0" borderId="0" xfId="0" applyFont="1"/>
    <xf numFmtId="0" fontId="18" fillId="0" borderId="0" xfId="0" applyFont="1" applyAlignment="1">
      <alignment horizontal="center"/>
    </xf>
    <xf numFmtId="44" fontId="1" fillId="0" borderId="10" xfId="42" applyFill="1" applyBorder="1"/>
    <xf numFmtId="44" fontId="0" fillId="0" borderId="10" xfId="0" applyNumberFormat="1" applyBorder="1"/>
    <xf numFmtId="44" fontId="18" fillId="0" borderId="10" xfId="0" applyNumberFormat="1" applyFont="1" applyBorder="1"/>
    <xf numFmtId="44" fontId="18" fillId="0" borderId="0" xfId="0" applyNumberFormat="1" applyFont="1"/>
    <xf numFmtId="44" fontId="0" fillId="0" borderId="0" xfId="0" applyNumberFormat="1"/>
    <xf numFmtId="44" fontId="1" fillId="0" borderId="10" xfId="42" applyBorder="1"/>
    <xf numFmtId="44" fontId="18" fillId="45" borderId="10" xfId="0" applyNumberFormat="1" applyFont="1" applyFill="1" applyBorder="1"/>
    <xf numFmtId="44" fontId="19" fillId="0" borderId="0" xfId="0" applyNumberFormat="1" applyFont="1"/>
    <xf numFmtId="44" fontId="0" fillId="44" borderId="0" xfId="0" applyNumberFormat="1" applyFill="1"/>
    <xf numFmtId="0" fontId="0" fillId="43" borderId="0" xfId="0" applyFill="1"/>
    <xf numFmtId="0" fontId="0" fillId="46" borderId="0" xfId="0" applyFill="1"/>
    <xf numFmtId="8" fontId="0" fillId="0" borderId="0" xfId="0" applyNumberFormat="1"/>
    <xf numFmtId="6" fontId="0" fillId="0" borderId="0" xfId="0" applyNumberFormat="1"/>
    <xf numFmtId="8" fontId="0" fillId="46" borderId="0" xfId="0" applyNumberFormat="1" applyFill="1"/>
    <xf numFmtId="6" fontId="0" fillId="46" borderId="0" xfId="0" applyNumberFormat="1" applyFill="1"/>
    <xf numFmtId="0" fontId="0" fillId="47" borderId="0" xfId="0" applyFill="1"/>
    <xf numFmtId="44" fontId="0" fillId="0" borderId="10" xfId="42" applyFont="1" applyFill="1" applyBorder="1"/>
    <xf numFmtId="44" fontId="20" fillId="0" borderId="10" xfId="0" applyNumberFormat="1" applyFont="1" applyBorder="1"/>
    <xf numFmtId="44" fontId="20" fillId="0" borderId="0" xfId="0" applyNumberFormat="1" applyFont="1"/>
    <xf numFmtId="8" fontId="0" fillId="47" borderId="0" xfId="0" applyNumberFormat="1" applyFill="1"/>
    <xf numFmtId="44" fontId="0" fillId="47" borderId="0" xfId="0" applyNumberFormat="1" applyFill="1"/>
    <xf numFmtId="9" fontId="0" fillId="0" borderId="0" xfId="0" applyNumberFormat="1"/>
    <xf numFmtId="44" fontId="0" fillId="33" borderId="0" xfId="0" applyNumberFormat="1" applyFill="1"/>
    <xf numFmtId="0" fontId="0" fillId="48" borderId="0" xfId="0" applyFill="1"/>
    <xf numFmtId="0" fontId="0" fillId="0" borderId="0" xfId="0" applyFill="1"/>
    <xf numFmtId="8" fontId="0" fillId="0" borderId="0" xfId="0" applyNumberFormat="1" applyFill="1"/>
    <xf numFmtId="0" fontId="0" fillId="0" borderId="10" xfId="0" applyFont="1" applyBorder="1"/>
    <xf numFmtId="0" fontId="0" fillId="0" borderId="0" xfId="0" applyFill="1" applyBorder="1"/>
    <xf numFmtId="164" fontId="0" fillId="0" borderId="0" xfId="0" applyNumberFormat="1" applyFill="1"/>
    <xf numFmtId="0" fontId="0" fillId="36" borderId="0" xfId="0" applyFill="1"/>
    <xf numFmtId="0" fontId="0" fillId="44" borderId="10" xfId="0" applyFill="1" applyBorder="1"/>
    <xf numFmtId="4" fontId="0" fillId="0" borderId="10" xfId="0" applyNumberFormat="1" applyBorder="1" applyAlignment="1">
      <alignment horizontal="center"/>
    </xf>
    <xf numFmtId="4" fontId="0" fillId="0" borderId="0" xfId="0" applyNumberFormat="1"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0" fontId="0" fillId="0" borderId="0" xfId="0" applyAlignment="1">
      <alignment horizontal="center"/>
    </xf>
    <xf numFmtId="8" fontId="0" fillId="0" borderId="10" xfId="0" applyNumberFormat="1" applyBorder="1" applyAlignment="1">
      <alignment horizontal="center"/>
    </xf>
    <xf numFmtId="0" fontId="0" fillId="37" borderId="10" xfId="0" applyFill="1" applyBorder="1" applyAlignment="1">
      <alignment horizontal="center"/>
    </xf>
    <xf numFmtId="8" fontId="0" fillId="37" borderId="10" xfId="0" applyNumberFormat="1" applyFill="1" applyBorder="1" applyAlignment="1">
      <alignment horizontal="center"/>
    </xf>
    <xf numFmtId="164" fontId="0" fillId="37" borderId="10" xfId="0" applyNumberFormat="1" applyFill="1" applyBorder="1" applyAlignment="1">
      <alignment horizontal="center"/>
    </xf>
    <xf numFmtId="0" fontId="0" fillId="37" borderId="0" xfId="0" applyFill="1" applyAlignment="1">
      <alignment horizontal="center"/>
    </xf>
    <xf numFmtId="0" fontId="0" fillId="38" borderId="10" xfId="0" applyFill="1" applyBorder="1" applyAlignment="1">
      <alignment horizontal="center"/>
    </xf>
    <xf numFmtId="8" fontId="0" fillId="38" borderId="10" xfId="0" applyNumberFormat="1" applyFill="1" applyBorder="1" applyAlignment="1">
      <alignment horizontal="center"/>
    </xf>
    <xf numFmtId="164" fontId="0" fillId="38" borderId="10" xfId="0" applyNumberFormat="1" applyFill="1" applyBorder="1" applyAlignment="1">
      <alignment horizontal="center"/>
    </xf>
    <xf numFmtId="0" fontId="0" fillId="38" borderId="0" xfId="0" applyFill="1" applyAlignment="1">
      <alignment horizontal="center"/>
    </xf>
    <xf numFmtId="0" fontId="0" fillId="39" borderId="10" xfId="0" applyFill="1" applyBorder="1" applyAlignment="1">
      <alignment horizontal="center"/>
    </xf>
    <xf numFmtId="8" fontId="0" fillId="39" borderId="10" xfId="0" applyNumberFormat="1" applyFill="1" applyBorder="1" applyAlignment="1">
      <alignment horizontal="center"/>
    </xf>
    <xf numFmtId="164" fontId="0" fillId="39" borderId="10" xfId="0" applyNumberFormat="1" applyFill="1" applyBorder="1" applyAlignment="1">
      <alignment horizontal="center"/>
    </xf>
    <xf numFmtId="0" fontId="0" fillId="39" borderId="0" xfId="0" applyFill="1" applyAlignment="1">
      <alignment horizontal="center"/>
    </xf>
    <xf numFmtId="0" fontId="0" fillId="40" borderId="10" xfId="0" applyFill="1" applyBorder="1" applyAlignment="1">
      <alignment horizontal="center"/>
    </xf>
    <xf numFmtId="8" fontId="0" fillId="40" borderId="10" xfId="0" applyNumberFormat="1" applyFill="1" applyBorder="1" applyAlignment="1">
      <alignment horizontal="center"/>
    </xf>
    <xf numFmtId="164" fontId="0" fillId="40" borderId="10" xfId="0" applyNumberFormat="1" applyFill="1" applyBorder="1" applyAlignment="1">
      <alignment horizontal="center"/>
    </xf>
    <xf numFmtId="0" fontId="0" fillId="40" borderId="0" xfId="0" applyFill="1" applyAlignment="1">
      <alignment horizontal="center"/>
    </xf>
    <xf numFmtId="0" fontId="0" fillId="41" borderId="10" xfId="0" applyFill="1" applyBorder="1" applyAlignment="1">
      <alignment horizontal="center"/>
    </xf>
    <xf numFmtId="8" fontId="0" fillId="41" borderId="10" xfId="0" applyNumberFormat="1" applyFill="1" applyBorder="1" applyAlignment="1">
      <alignment horizontal="center"/>
    </xf>
    <xf numFmtId="164" fontId="0" fillId="41" borderId="10" xfId="0" applyNumberFormat="1" applyFill="1" applyBorder="1" applyAlignment="1">
      <alignment horizontal="center"/>
    </xf>
    <xf numFmtId="0" fontId="0" fillId="41" borderId="0" xfId="0" applyFill="1" applyAlignment="1">
      <alignment horizontal="center"/>
    </xf>
    <xf numFmtId="0" fontId="0" fillId="49" borderId="10" xfId="0" applyFill="1" applyBorder="1" applyAlignment="1">
      <alignment horizontal="center"/>
    </xf>
    <xf numFmtId="8" fontId="0" fillId="49" borderId="10" xfId="0" applyNumberFormat="1" applyFill="1" applyBorder="1" applyAlignment="1">
      <alignment horizontal="center"/>
    </xf>
    <xf numFmtId="164" fontId="0" fillId="49" borderId="10" xfId="0" applyNumberFormat="1" applyFill="1" applyBorder="1" applyAlignment="1">
      <alignment horizontal="center"/>
    </xf>
    <xf numFmtId="0" fontId="0" fillId="49" borderId="0" xfId="0" applyFill="1" applyAlignment="1">
      <alignment horizontal="center"/>
    </xf>
    <xf numFmtId="0" fontId="0" fillId="41" borderId="0" xfId="0" applyFill="1" applyBorder="1" applyAlignment="1">
      <alignment horizontal="center"/>
    </xf>
    <xf numFmtId="0" fontId="0" fillId="33" borderId="10" xfId="0" applyFill="1" applyBorder="1" applyAlignment="1">
      <alignment horizontal="center"/>
    </xf>
    <xf numFmtId="8" fontId="0" fillId="33" borderId="10" xfId="0" applyNumberFormat="1" applyFill="1" applyBorder="1" applyAlignment="1">
      <alignment horizontal="center"/>
    </xf>
    <xf numFmtId="164" fontId="0" fillId="33" borderId="10" xfId="0" applyNumberFormat="1" applyFill="1" applyBorder="1" applyAlignment="1">
      <alignment horizontal="center"/>
    </xf>
    <xf numFmtId="0" fontId="0" fillId="33" borderId="0" xfId="0" applyFill="1" applyAlignment="1">
      <alignment horizontal="center"/>
    </xf>
    <xf numFmtId="0" fontId="0" fillId="50" borderId="10" xfId="0" applyFill="1" applyBorder="1" applyAlignment="1">
      <alignment horizontal="center"/>
    </xf>
    <xf numFmtId="8" fontId="0" fillId="50" borderId="10" xfId="0" applyNumberFormat="1" applyFill="1" applyBorder="1" applyAlignment="1">
      <alignment horizontal="center"/>
    </xf>
    <xf numFmtId="164" fontId="0" fillId="50" borderId="10" xfId="0" applyNumberFormat="1" applyFill="1" applyBorder="1" applyAlignment="1">
      <alignment horizontal="center"/>
    </xf>
    <xf numFmtId="0" fontId="0" fillId="50" borderId="0" xfId="0" applyFill="1" applyAlignment="1">
      <alignment horizontal="center"/>
    </xf>
    <xf numFmtId="0" fontId="16" fillId="0" borderId="10" xfId="0" applyFont="1" applyFill="1" applyBorder="1"/>
    <xf numFmtId="4" fontId="0" fillId="0" borderId="10" xfId="0" applyNumberFormat="1" applyFill="1" applyBorder="1" applyAlignment="1">
      <alignment horizontal="center"/>
    </xf>
    <xf numFmtId="164" fontId="0" fillId="0" borderId="10" xfId="0" applyNumberFormat="1" applyFill="1" applyBorder="1" applyAlignment="1">
      <alignment horizontal="center"/>
    </xf>
    <xf numFmtId="0" fontId="0" fillId="0" borderId="10" xfId="0" applyFill="1" applyBorder="1" applyAlignment="1">
      <alignment horizontal="center"/>
    </xf>
    <xf numFmtId="6" fontId="0" fillId="0" borderId="0" xfId="0" applyNumberFormat="1" applyFill="1"/>
    <xf numFmtId="0" fontId="16" fillId="0" borderId="0" xfId="0" applyFont="1"/>
    <xf numFmtId="164" fontId="0" fillId="0" borderId="10" xfId="0" applyNumberFormat="1" applyFill="1" applyBorder="1"/>
    <xf numFmtId="0" fontId="21" fillId="0" borderId="10" xfId="0" applyFont="1" applyFill="1" applyBorder="1"/>
    <xf numFmtId="0" fontId="21" fillId="0" borderId="10" xfId="0" applyFont="1" applyBorder="1"/>
    <xf numFmtId="0" fontId="21" fillId="0" borderId="0" xfId="0" applyFont="1"/>
    <xf numFmtId="164" fontId="16" fillId="0" borderId="10" xfId="0" applyNumberFormat="1" applyFont="1" applyFill="1" applyBorder="1"/>
    <xf numFmtId="0" fontId="0" fillId="0" borderId="11" xfId="0" applyFill="1" applyBorder="1"/>
    <xf numFmtId="0" fontId="16" fillId="0" borderId="11" xfId="0" applyFont="1" applyFill="1" applyBorder="1"/>
    <xf numFmtId="0" fontId="16" fillId="0" borderId="0" xfId="0" applyFont="1" applyBorder="1"/>
    <xf numFmtId="0" fontId="0" fillId="0" borderId="0" xfId="0" applyAlignment="1">
      <alignment wrapText="1"/>
    </xf>
    <xf numFmtId="1" fontId="0" fillId="36" borderId="10" xfId="0" applyNumberFormat="1" applyFill="1" applyBorder="1" applyAlignment="1">
      <alignment horizontal="center"/>
    </xf>
    <xf numFmtId="1" fontId="0" fillId="36" borderId="0" xfId="0" applyNumberFormat="1" applyFill="1" applyAlignment="1">
      <alignment horizontal="center"/>
    </xf>
    <xf numFmtId="165" fontId="0" fillId="0" borderId="10" xfId="0" applyNumberFormat="1" applyFill="1" applyBorder="1"/>
    <xf numFmtId="165" fontId="0" fillId="0" borderId="10" xfId="0" applyNumberFormat="1" applyBorder="1"/>
    <xf numFmtId="165" fontId="16" fillId="0" borderId="10" xfId="0" applyNumberFormat="1" applyFont="1" applyBorder="1"/>
    <xf numFmtId="165" fontId="0" fillId="0" borderId="0" xfId="0" applyNumberFormat="1"/>
    <xf numFmtId="0" fontId="0" fillId="51" borderId="0" xfId="0" applyFill="1"/>
    <xf numFmtId="164" fontId="0" fillId="51" borderId="0" xfId="0" applyNumberFormat="1" applyFill="1"/>
    <xf numFmtId="44" fontId="0" fillId="51" borderId="0" xfId="0" applyNumberFormat="1" applyFill="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 fontId="0" fillId="0" borderId="12" xfId="0" applyNumberFormat="1" applyBorder="1" applyAlignment="1">
      <alignment horizontal="center"/>
    </xf>
    <xf numFmtId="16" fontId="0" fillId="0" borderId="13" xfId="0" applyNumberFormat="1" applyBorder="1" applyAlignment="1">
      <alignment horizontal="center"/>
    </xf>
    <xf numFmtId="16" fontId="0" fillId="0" borderId="14" xfId="0" applyNumberFormat="1" applyBorder="1" applyAlignment="1">
      <alignment horizontal="center"/>
    </xf>
    <xf numFmtId="0" fontId="0" fillId="51" borderId="0" xfId="0" applyFill="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7D91-CE2C-4276-87AA-11B295AA3ADA}">
  <dimension ref="A1:S376"/>
  <sheetViews>
    <sheetView topLeftCell="C1" workbookViewId="0">
      <selection activeCell="C2" sqref="C2"/>
    </sheetView>
  </sheetViews>
  <sheetFormatPr defaultRowHeight="14.4" x14ac:dyDescent="0.3"/>
  <cols>
    <col min="1" max="1" width="29.6640625" customWidth="1"/>
    <col min="2" max="2" width="55.77734375" customWidth="1"/>
    <col min="3" max="3" width="15.33203125" style="147" customWidth="1"/>
    <col min="4" max="4" width="9.77734375" style="97" customWidth="1"/>
    <col min="5" max="5" width="9.77734375" style="143" customWidth="1"/>
    <col min="6" max="6" width="12.109375" style="113" customWidth="1"/>
    <col min="7" max="7" width="9.77734375" style="117" customWidth="1"/>
    <col min="8" max="8" width="9.77734375" style="109" customWidth="1"/>
    <col min="9" max="9" width="9.77734375" style="105" customWidth="1"/>
    <col min="10" max="10" width="9.77734375" style="101" customWidth="1"/>
    <col min="11" max="11" width="12.21875" style="89" customWidth="1"/>
    <col min="12" max="12" width="13.5546875" style="89" customWidth="1"/>
    <col min="13" max="13" width="13.5546875" style="91" customWidth="1"/>
    <col min="14" max="14" width="10.5546875" style="91" customWidth="1"/>
    <col min="15" max="15" width="8.88671875" style="92"/>
    <col min="16" max="17" width="11.21875" style="92" customWidth="1"/>
    <col min="18" max="18" width="11.21875" style="122" customWidth="1"/>
    <col min="19" max="19" width="11.109375" style="126" customWidth="1"/>
  </cols>
  <sheetData>
    <row r="1" spans="1:19" s="86" customFormat="1" x14ac:dyDescent="0.3">
      <c r="A1" s="127" t="s">
        <v>26</v>
      </c>
      <c r="B1" s="49"/>
      <c r="C1" s="144" t="s">
        <v>832</v>
      </c>
      <c r="D1" s="94" t="s">
        <v>147</v>
      </c>
      <c r="E1" s="142" t="s">
        <v>833</v>
      </c>
      <c r="F1" s="110" t="s">
        <v>459</v>
      </c>
      <c r="G1" s="114" t="s">
        <v>490</v>
      </c>
      <c r="H1" s="106" t="s">
        <v>489</v>
      </c>
      <c r="I1" s="102" t="s">
        <v>491</v>
      </c>
      <c r="J1" s="98" t="s">
        <v>488</v>
      </c>
      <c r="K1" s="128" t="s">
        <v>457</v>
      </c>
      <c r="L1" s="128" t="s">
        <v>454</v>
      </c>
      <c r="M1" s="129" t="s">
        <v>456</v>
      </c>
      <c r="N1" s="129" t="s">
        <v>148</v>
      </c>
      <c r="O1" s="130" t="s">
        <v>146</v>
      </c>
      <c r="P1" s="130" t="s">
        <v>453</v>
      </c>
      <c r="Q1" s="130" t="s">
        <v>458</v>
      </c>
      <c r="R1" s="119" t="s">
        <v>455</v>
      </c>
      <c r="S1" s="123" t="s">
        <v>492</v>
      </c>
    </row>
    <row r="2" spans="1:19" x14ac:dyDescent="0.3">
      <c r="A2" s="2" t="s">
        <v>26</v>
      </c>
      <c r="B2" s="2" t="s">
        <v>27</v>
      </c>
      <c r="C2" s="145">
        <v>778</v>
      </c>
      <c r="D2" s="95">
        <f t="shared" ref="D2:D24" si="0">R2+S2</f>
        <v>591.49112621250003</v>
      </c>
      <c r="E2" s="142">
        <f>(C2-D2)/C2*100</f>
        <v>23.972862954691511</v>
      </c>
      <c r="F2" s="111">
        <f t="shared" ref="F2:F24" si="1">D2/0.7</f>
        <v>844.98732316071437</v>
      </c>
      <c r="G2" s="115">
        <f t="shared" ref="G2:G24" si="2">D2/0.75</f>
        <v>788.65483495000001</v>
      </c>
      <c r="H2" s="107">
        <f t="shared" ref="H2:H24" si="3">D2/0.8</f>
        <v>739.36390776562496</v>
      </c>
      <c r="I2" s="103">
        <f t="shared" ref="I2:I24" si="4">D2/0.85</f>
        <v>695.87191319117653</v>
      </c>
      <c r="J2" s="99">
        <f t="shared" ref="J2:J24" si="5">D2/0.9</f>
        <v>657.21236245833336</v>
      </c>
      <c r="K2" s="88">
        <f>'Part Pricing'!D19+'Part Combo'!D10</f>
        <v>284.13</v>
      </c>
      <c r="L2" s="88">
        <f t="shared" ref="L2:L24" si="6">K2*0.08375</f>
        <v>23.795887500000003</v>
      </c>
      <c r="M2" s="90">
        <f t="shared" ref="M2:M24" si="7">K2+L2</f>
        <v>307.92588749999999</v>
      </c>
      <c r="N2" s="90">
        <v>0</v>
      </c>
      <c r="O2" s="51">
        <v>1.5</v>
      </c>
      <c r="P2" s="93">
        <f>'Hourly Rate'!E98</f>
        <v>175.70874888888889</v>
      </c>
      <c r="Q2" s="93">
        <f>(O2*P2) +N2</f>
        <v>263.56312333333335</v>
      </c>
      <c r="R2" s="120">
        <f t="shared" ref="R2:R24" si="8">Q2+M2</f>
        <v>571.4890108333334</v>
      </c>
      <c r="S2" s="124">
        <f>R2*0.035</f>
        <v>20.002115379166671</v>
      </c>
    </row>
    <row r="3" spans="1:19" x14ac:dyDescent="0.3">
      <c r="A3" s="2" t="s">
        <v>26</v>
      </c>
      <c r="B3" s="2" t="s">
        <v>28</v>
      </c>
      <c r="C3" s="145">
        <v>728</v>
      </c>
      <c r="D3" s="95">
        <f t="shared" si="0"/>
        <v>557.84068871249997</v>
      </c>
      <c r="E3" s="142">
        <f t="shared" ref="E3:E63" si="9">(C3-D3)/C3*100</f>
        <v>23.373531770260993</v>
      </c>
      <c r="F3" s="111">
        <f t="shared" si="1"/>
        <v>796.91526958928569</v>
      </c>
      <c r="G3" s="115">
        <f t="shared" si="2"/>
        <v>743.78758495</v>
      </c>
      <c r="H3" s="107">
        <f t="shared" si="3"/>
        <v>697.3008608906249</v>
      </c>
      <c r="I3" s="103">
        <f t="shared" si="4"/>
        <v>656.28316319117641</v>
      </c>
      <c r="J3" s="99">
        <f t="shared" si="5"/>
        <v>619.82298745833327</v>
      </c>
      <c r="K3" s="88">
        <f>'Part Pricing'!D20+'Part Combo'!D10</f>
        <v>254.13</v>
      </c>
      <c r="L3" s="88">
        <f t="shared" si="6"/>
        <v>21.2833875</v>
      </c>
      <c r="M3" s="90">
        <f t="shared" si="7"/>
        <v>275.4133875</v>
      </c>
      <c r="N3" s="90">
        <v>0</v>
      </c>
      <c r="O3" s="51">
        <v>1.5</v>
      </c>
      <c r="P3" s="93">
        <f t="shared" ref="P3:P12" si="10">P2</f>
        <v>175.70874888888889</v>
      </c>
      <c r="Q3" s="93">
        <f t="shared" ref="Q3:Q24" si="11">(O3*P3) +N3</f>
        <v>263.56312333333335</v>
      </c>
      <c r="R3" s="120">
        <f t="shared" si="8"/>
        <v>538.97651083333335</v>
      </c>
      <c r="S3" s="124">
        <f t="shared" ref="S3:S24" si="12">R3*0.035</f>
        <v>18.864177879166668</v>
      </c>
    </row>
    <row r="4" spans="1:19" x14ac:dyDescent="0.3">
      <c r="A4" s="2" t="s">
        <v>26</v>
      </c>
      <c r="B4" s="2" t="s">
        <v>29</v>
      </c>
      <c r="C4" s="145">
        <v>658</v>
      </c>
      <c r="D4" s="95">
        <f t="shared" si="0"/>
        <v>508.86808533750002</v>
      </c>
      <c r="E4" s="142">
        <f t="shared" si="9"/>
        <v>22.664424720744677</v>
      </c>
      <c r="F4" s="111">
        <f t="shared" si="1"/>
        <v>726.95440762500004</v>
      </c>
      <c r="G4" s="115">
        <f t="shared" si="2"/>
        <v>678.49078044999999</v>
      </c>
      <c r="H4" s="107">
        <f t="shared" si="3"/>
        <v>636.085106671875</v>
      </c>
      <c r="I4" s="103">
        <f t="shared" si="4"/>
        <v>598.66833569117648</v>
      </c>
      <c r="J4" s="99">
        <f t="shared" si="5"/>
        <v>565.40898370833338</v>
      </c>
      <c r="K4" s="88">
        <f>'Part Pricing'!B21+'Part Combo'!D10</f>
        <v>210.47</v>
      </c>
      <c r="L4" s="88">
        <f t="shared" si="6"/>
        <v>17.626862500000001</v>
      </c>
      <c r="M4" s="90">
        <f t="shared" si="7"/>
        <v>228.09686249999999</v>
      </c>
      <c r="N4" s="90">
        <v>0</v>
      </c>
      <c r="O4" s="51">
        <v>1.5</v>
      </c>
      <c r="P4" s="93">
        <f t="shared" si="10"/>
        <v>175.70874888888889</v>
      </c>
      <c r="Q4" s="93">
        <f t="shared" si="11"/>
        <v>263.56312333333335</v>
      </c>
      <c r="R4" s="120">
        <f t="shared" si="8"/>
        <v>491.65998583333334</v>
      </c>
      <c r="S4" s="124">
        <f t="shared" si="12"/>
        <v>17.208099504166668</v>
      </c>
    </row>
    <row r="5" spans="1:19" x14ac:dyDescent="0.3">
      <c r="A5" s="2" t="s">
        <v>26</v>
      </c>
      <c r="B5" s="2" t="s">
        <v>43</v>
      </c>
      <c r="C5" s="145">
        <v>298</v>
      </c>
      <c r="D5" s="95">
        <f t="shared" si="0"/>
        <v>204.37069778750001</v>
      </c>
      <c r="E5" s="142">
        <f t="shared" si="9"/>
        <v>31.419228930369126</v>
      </c>
      <c r="F5" s="111">
        <f t="shared" si="1"/>
        <v>291.95813969642859</v>
      </c>
      <c r="G5" s="115">
        <f t="shared" si="2"/>
        <v>272.49426371666669</v>
      </c>
      <c r="H5" s="107">
        <f t="shared" si="3"/>
        <v>255.46337223437499</v>
      </c>
      <c r="I5" s="103">
        <f t="shared" si="4"/>
        <v>240.43611504411766</v>
      </c>
      <c r="J5" s="99">
        <f t="shared" si="5"/>
        <v>227.07855309722223</v>
      </c>
      <c r="K5" s="88">
        <f>'Part Pricing'!B28</f>
        <v>20.07</v>
      </c>
      <c r="L5" s="88">
        <f t="shared" si="6"/>
        <v>1.6808625000000001</v>
      </c>
      <c r="M5" s="90">
        <f t="shared" si="7"/>
        <v>21.7508625</v>
      </c>
      <c r="N5" s="90">
        <v>0</v>
      </c>
      <c r="O5" s="51">
        <v>1</v>
      </c>
      <c r="P5" s="93">
        <f t="shared" si="10"/>
        <v>175.70874888888889</v>
      </c>
      <c r="Q5" s="93">
        <f t="shared" si="11"/>
        <v>175.70874888888889</v>
      </c>
      <c r="R5" s="120">
        <f t="shared" si="8"/>
        <v>197.4596113888889</v>
      </c>
      <c r="S5" s="124">
        <f t="shared" si="12"/>
        <v>6.9110863986111122</v>
      </c>
    </row>
    <row r="6" spans="1:19" x14ac:dyDescent="0.3">
      <c r="A6" s="2" t="s">
        <v>26</v>
      </c>
      <c r="B6" s="2" t="s">
        <v>44</v>
      </c>
      <c r="C6" s="144">
        <v>268</v>
      </c>
      <c r="D6" s="95">
        <f t="shared" si="0"/>
        <v>191.99855360000001</v>
      </c>
      <c r="E6" s="142">
        <f t="shared" si="9"/>
        <v>28.358748656716415</v>
      </c>
      <c r="F6" s="111">
        <f t="shared" si="1"/>
        <v>274.28364800000003</v>
      </c>
      <c r="G6" s="115">
        <f t="shared" si="2"/>
        <v>255.99807146666669</v>
      </c>
      <c r="H6" s="107">
        <f t="shared" si="3"/>
        <v>239.99819199999999</v>
      </c>
      <c r="I6" s="103">
        <f t="shared" si="4"/>
        <v>225.88065129411765</v>
      </c>
      <c r="J6" s="99">
        <f t="shared" si="5"/>
        <v>213.33172622222222</v>
      </c>
      <c r="K6" s="88">
        <f>'Part Combo'!D5</f>
        <v>9.0399999999999991</v>
      </c>
      <c r="L6" s="88">
        <f t="shared" si="6"/>
        <v>0.7571</v>
      </c>
      <c r="M6" s="90">
        <f t="shared" si="7"/>
        <v>9.7970999999999986</v>
      </c>
      <c r="N6" s="90">
        <v>0</v>
      </c>
      <c r="O6" s="51">
        <v>1</v>
      </c>
      <c r="P6" s="93">
        <f t="shared" si="10"/>
        <v>175.70874888888889</v>
      </c>
      <c r="Q6" s="93">
        <f t="shared" si="11"/>
        <v>175.70874888888889</v>
      </c>
      <c r="R6" s="120">
        <f t="shared" si="8"/>
        <v>185.50584888888889</v>
      </c>
      <c r="S6" s="124">
        <f t="shared" si="12"/>
        <v>6.492704711111112</v>
      </c>
    </row>
    <row r="7" spans="1:19" x14ac:dyDescent="0.3">
      <c r="A7" s="2" t="s">
        <v>26</v>
      </c>
      <c r="B7" s="2" t="s">
        <v>45</v>
      </c>
      <c r="C7" s="145">
        <v>248</v>
      </c>
      <c r="D7" s="95">
        <f t="shared" si="0"/>
        <v>187.53426222500002</v>
      </c>
      <c r="E7" s="142">
        <f t="shared" si="9"/>
        <v>24.38134587701612</v>
      </c>
      <c r="F7" s="111">
        <f t="shared" si="1"/>
        <v>267.90608889285721</v>
      </c>
      <c r="G7" s="115">
        <f t="shared" si="2"/>
        <v>250.0456829666667</v>
      </c>
      <c r="H7" s="107">
        <f t="shared" si="3"/>
        <v>234.41782778125003</v>
      </c>
      <c r="I7" s="103">
        <f t="shared" si="4"/>
        <v>220.62854379411769</v>
      </c>
      <c r="J7" s="99">
        <f t="shared" si="5"/>
        <v>208.37140247222223</v>
      </c>
      <c r="K7" s="88">
        <f>'Part Pricing'!B30</f>
        <v>5.0599999999999996</v>
      </c>
      <c r="L7" s="88">
        <f t="shared" si="6"/>
        <v>0.42377500000000001</v>
      </c>
      <c r="M7" s="90">
        <f t="shared" si="7"/>
        <v>5.4837749999999996</v>
      </c>
      <c r="N7" s="90">
        <v>0</v>
      </c>
      <c r="O7" s="51">
        <v>1</v>
      </c>
      <c r="P7" s="93">
        <f t="shared" si="10"/>
        <v>175.70874888888889</v>
      </c>
      <c r="Q7" s="93">
        <f t="shared" si="11"/>
        <v>175.70874888888889</v>
      </c>
      <c r="R7" s="120">
        <f t="shared" si="8"/>
        <v>181.1925238888889</v>
      </c>
      <c r="S7" s="124">
        <f t="shared" si="12"/>
        <v>6.3417383361111117</v>
      </c>
    </row>
    <row r="8" spans="1:19" x14ac:dyDescent="0.3">
      <c r="A8" s="2" t="s">
        <v>26</v>
      </c>
      <c r="B8" s="2" t="s">
        <v>51</v>
      </c>
      <c r="C8" s="145">
        <v>378</v>
      </c>
      <c r="D8" s="95">
        <f t="shared" si="0"/>
        <v>291.57599358750002</v>
      </c>
      <c r="E8" s="142">
        <f t="shared" si="9"/>
        <v>22.86349375992063</v>
      </c>
      <c r="F8" s="111">
        <f t="shared" si="1"/>
        <v>416.53713369642861</v>
      </c>
      <c r="G8" s="115">
        <f t="shared" si="2"/>
        <v>388.76799145000001</v>
      </c>
      <c r="H8" s="107">
        <f t="shared" si="3"/>
        <v>364.46999198437499</v>
      </c>
      <c r="I8" s="103">
        <f t="shared" si="4"/>
        <v>343.03058069117651</v>
      </c>
      <c r="J8" s="99">
        <f t="shared" si="5"/>
        <v>323.97332620833333</v>
      </c>
      <c r="K8" s="88">
        <f>'Part Combo'!D14</f>
        <v>16.75</v>
      </c>
      <c r="L8" s="88">
        <f t="shared" si="6"/>
        <v>1.4028125</v>
      </c>
      <c r="M8" s="90">
        <f t="shared" si="7"/>
        <v>18.1528125</v>
      </c>
      <c r="N8" s="90">
        <v>0</v>
      </c>
      <c r="O8" s="51">
        <v>1.5</v>
      </c>
      <c r="P8" s="93">
        <f t="shared" si="10"/>
        <v>175.70874888888889</v>
      </c>
      <c r="Q8" s="93">
        <f t="shared" si="11"/>
        <v>263.56312333333335</v>
      </c>
      <c r="R8" s="120">
        <f t="shared" si="8"/>
        <v>281.71593583333333</v>
      </c>
      <c r="S8" s="124">
        <f t="shared" si="12"/>
        <v>9.8600577541666681</v>
      </c>
    </row>
    <row r="9" spans="1:19" x14ac:dyDescent="0.3">
      <c r="A9" s="2" t="s">
        <v>26</v>
      </c>
      <c r="B9" s="2" t="s">
        <v>112</v>
      </c>
      <c r="C9" s="145">
        <v>278</v>
      </c>
      <c r="D9" s="95">
        <f t="shared" si="0"/>
        <v>246.91606759999999</v>
      </c>
      <c r="E9" s="142">
        <f t="shared" si="9"/>
        <v>11.181270647482018</v>
      </c>
      <c r="F9" s="111">
        <f t="shared" si="1"/>
        <v>352.73723942857146</v>
      </c>
      <c r="G9" s="115">
        <f t="shared" si="2"/>
        <v>329.22142346666664</v>
      </c>
      <c r="H9" s="107">
        <f t="shared" si="3"/>
        <v>308.6450845</v>
      </c>
      <c r="I9" s="103">
        <f t="shared" si="4"/>
        <v>290.48949129411767</v>
      </c>
      <c r="J9" s="99">
        <f t="shared" si="5"/>
        <v>274.35118622222222</v>
      </c>
      <c r="K9" s="88">
        <f>'Part Pricing'!B113</f>
        <v>58</v>
      </c>
      <c r="L9" s="88">
        <f t="shared" si="6"/>
        <v>4.8574999999999999</v>
      </c>
      <c r="M9" s="90">
        <f t="shared" si="7"/>
        <v>62.857500000000002</v>
      </c>
      <c r="N9" s="90">
        <v>0</v>
      </c>
      <c r="O9" s="51">
        <v>1</v>
      </c>
      <c r="P9" s="93">
        <f t="shared" si="10"/>
        <v>175.70874888888889</v>
      </c>
      <c r="Q9" s="93">
        <f t="shared" si="11"/>
        <v>175.70874888888889</v>
      </c>
      <c r="R9" s="120">
        <f t="shared" si="8"/>
        <v>238.56624888888888</v>
      </c>
      <c r="S9" s="124">
        <f t="shared" si="12"/>
        <v>8.3498187111111122</v>
      </c>
    </row>
    <row r="10" spans="1:19" x14ac:dyDescent="0.3">
      <c r="A10" s="2" t="s">
        <v>26</v>
      </c>
      <c r="B10" s="2" t="s">
        <v>113</v>
      </c>
      <c r="C10" s="145">
        <v>278</v>
      </c>
      <c r="D10" s="95">
        <f t="shared" si="0"/>
        <v>197.07976966250001</v>
      </c>
      <c r="E10" s="142">
        <f t="shared" si="9"/>
        <v>29.107996524280573</v>
      </c>
      <c r="F10" s="111">
        <f t="shared" si="1"/>
        <v>281.54252808928572</v>
      </c>
      <c r="G10" s="115">
        <f t="shared" si="2"/>
        <v>262.77302621666666</v>
      </c>
      <c r="H10" s="107">
        <f t="shared" si="3"/>
        <v>246.34971207812501</v>
      </c>
      <c r="I10" s="103">
        <f t="shared" si="4"/>
        <v>231.85855254411766</v>
      </c>
      <c r="J10" s="99">
        <f t="shared" si="5"/>
        <v>218.97752184722222</v>
      </c>
      <c r="K10" s="88">
        <f>'Part Pricing'!B9</f>
        <v>13.57</v>
      </c>
      <c r="L10" s="88">
        <f t="shared" si="6"/>
        <v>1.1364875000000001</v>
      </c>
      <c r="M10" s="90">
        <f t="shared" si="7"/>
        <v>14.7064875</v>
      </c>
      <c r="N10" s="90">
        <v>0</v>
      </c>
      <c r="O10" s="51">
        <v>1</v>
      </c>
      <c r="P10" s="93">
        <f t="shared" si="10"/>
        <v>175.70874888888889</v>
      </c>
      <c r="Q10" s="93">
        <f t="shared" si="11"/>
        <v>175.70874888888889</v>
      </c>
      <c r="R10" s="120">
        <f t="shared" si="8"/>
        <v>190.4152363888889</v>
      </c>
      <c r="S10" s="124">
        <f t="shared" si="12"/>
        <v>6.664533273611112</v>
      </c>
    </row>
    <row r="11" spans="1:19" x14ac:dyDescent="0.3">
      <c r="A11" s="2" t="s">
        <v>26</v>
      </c>
      <c r="B11" s="2" t="s">
        <v>114</v>
      </c>
      <c r="C11" s="145">
        <v>748</v>
      </c>
      <c r="D11" s="95">
        <f t="shared" si="0"/>
        <v>618.86108359062496</v>
      </c>
      <c r="E11" s="142">
        <f t="shared" si="9"/>
        <v>17.264561017296128</v>
      </c>
      <c r="F11" s="111">
        <f t="shared" si="1"/>
        <v>884.08726227232137</v>
      </c>
      <c r="G11" s="115">
        <f t="shared" si="2"/>
        <v>825.14811145416661</v>
      </c>
      <c r="H11" s="107">
        <f t="shared" si="3"/>
        <v>773.57635448828114</v>
      </c>
      <c r="I11" s="103">
        <f t="shared" si="4"/>
        <v>728.07186304779407</v>
      </c>
      <c r="J11" s="99">
        <f t="shared" si="5"/>
        <v>687.62342621180551</v>
      </c>
      <c r="K11" s="128">
        <f>'Part Combo'!D30</f>
        <v>146.40049999999999</v>
      </c>
      <c r="L11" s="88">
        <f t="shared" si="6"/>
        <v>12.261041875</v>
      </c>
      <c r="M11" s="90">
        <f t="shared" si="7"/>
        <v>158.66154187499998</v>
      </c>
      <c r="N11" s="90">
        <v>0</v>
      </c>
      <c r="O11" s="51">
        <v>2.5</v>
      </c>
      <c r="P11" s="93">
        <f t="shared" si="10"/>
        <v>175.70874888888889</v>
      </c>
      <c r="Q11" s="93">
        <f t="shared" si="11"/>
        <v>439.27187222222221</v>
      </c>
      <c r="R11" s="120">
        <f t="shared" si="8"/>
        <v>597.93341409722223</v>
      </c>
      <c r="S11" s="124">
        <f t="shared" si="12"/>
        <v>20.927669493402782</v>
      </c>
    </row>
    <row r="12" spans="1:19" x14ac:dyDescent="0.3">
      <c r="A12" s="2" t="s">
        <v>26</v>
      </c>
      <c r="B12" s="2" t="s">
        <v>493</v>
      </c>
      <c r="C12" s="145">
        <v>798</v>
      </c>
      <c r="D12" s="95">
        <f t="shared" si="0"/>
        <v>628.260772465625</v>
      </c>
      <c r="E12" s="142">
        <f t="shared" si="9"/>
        <v>21.270579891525689</v>
      </c>
      <c r="F12" s="111">
        <f t="shared" si="1"/>
        <v>897.51538923660723</v>
      </c>
      <c r="G12" s="115">
        <f t="shared" si="2"/>
        <v>837.68102995416666</v>
      </c>
      <c r="H12" s="107">
        <f t="shared" si="3"/>
        <v>785.32596558203124</v>
      </c>
      <c r="I12" s="103">
        <f t="shared" si="4"/>
        <v>739.1303205477941</v>
      </c>
      <c r="J12" s="99">
        <f t="shared" si="5"/>
        <v>698.06752496180559</v>
      </c>
      <c r="K12" s="128">
        <f>'Part Combo'!D37</f>
        <v>154.78050000000002</v>
      </c>
      <c r="L12" s="88">
        <f t="shared" si="6"/>
        <v>12.962866875000003</v>
      </c>
      <c r="M12" s="90">
        <f t="shared" si="7"/>
        <v>167.74336687500002</v>
      </c>
      <c r="N12" s="90">
        <v>0</v>
      </c>
      <c r="O12" s="51">
        <v>2.5</v>
      </c>
      <c r="P12" s="93">
        <f t="shared" si="10"/>
        <v>175.70874888888889</v>
      </c>
      <c r="Q12" s="93">
        <f>(O12*P12) +N12</f>
        <v>439.27187222222221</v>
      </c>
      <c r="R12" s="120">
        <f t="shared" si="8"/>
        <v>607.01523909722221</v>
      </c>
      <c r="S12" s="124">
        <f t="shared" si="12"/>
        <v>21.245533368402779</v>
      </c>
    </row>
    <row r="13" spans="1:19" x14ac:dyDescent="0.3">
      <c r="A13" s="2" t="s">
        <v>26</v>
      </c>
      <c r="B13" s="2" t="s">
        <v>330</v>
      </c>
      <c r="C13" s="145">
        <v>248</v>
      </c>
      <c r="D13" s="95">
        <f t="shared" si="0"/>
        <v>181.85855509999999</v>
      </c>
      <c r="E13" s="142">
        <f t="shared" si="9"/>
        <v>26.669937459677424</v>
      </c>
      <c r="F13" s="111">
        <f t="shared" si="1"/>
        <v>259.79793585714287</v>
      </c>
      <c r="G13" s="115">
        <f t="shared" si="2"/>
        <v>242.47807346666664</v>
      </c>
      <c r="H13" s="107">
        <f t="shared" si="3"/>
        <v>227.32319387499999</v>
      </c>
      <c r="I13" s="103">
        <f t="shared" si="4"/>
        <v>213.95124129411764</v>
      </c>
      <c r="J13" s="99">
        <f t="shared" si="5"/>
        <v>202.0650612222222</v>
      </c>
      <c r="K13" s="88">
        <v>0</v>
      </c>
      <c r="L13" s="88">
        <f t="shared" si="6"/>
        <v>0</v>
      </c>
      <c r="M13" s="90">
        <f t="shared" si="7"/>
        <v>0</v>
      </c>
      <c r="N13" s="90">
        <v>0</v>
      </c>
      <c r="O13" s="51">
        <v>1</v>
      </c>
      <c r="P13" s="93">
        <f>P11</f>
        <v>175.70874888888889</v>
      </c>
      <c r="Q13" s="93">
        <f t="shared" si="11"/>
        <v>175.70874888888889</v>
      </c>
      <c r="R13" s="120">
        <f t="shared" si="8"/>
        <v>175.70874888888889</v>
      </c>
      <c r="S13" s="124">
        <f t="shared" si="12"/>
        <v>6.1498062111111116</v>
      </c>
    </row>
    <row r="14" spans="1:19" x14ac:dyDescent="0.3">
      <c r="A14" s="2" t="s">
        <v>26</v>
      </c>
      <c r="B14" s="2" t="s">
        <v>331</v>
      </c>
      <c r="C14" s="145">
        <v>288</v>
      </c>
      <c r="D14" s="95">
        <f t="shared" si="0"/>
        <v>181.85855509999999</v>
      </c>
      <c r="E14" s="142">
        <f t="shared" si="9"/>
        <v>36.854668368055563</v>
      </c>
      <c r="F14" s="111">
        <f t="shared" si="1"/>
        <v>259.79793585714287</v>
      </c>
      <c r="G14" s="115">
        <f t="shared" si="2"/>
        <v>242.47807346666664</v>
      </c>
      <c r="H14" s="107">
        <f t="shared" si="3"/>
        <v>227.32319387499999</v>
      </c>
      <c r="I14" s="103">
        <f t="shared" si="4"/>
        <v>213.95124129411764</v>
      </c>
      <c r="J14" s="99">
        <f t="shared" si="5"/>
        <v>202.0650612222222</v>
      </c>
      <c r="K14" s="88">
        <v>0</v>
      </c>
      <c r="L14" s="88">
        <f t="shared" si="6"/>
        <v>0</v>
      </c>
      <c r="M14" s="90">
        <f t="shared" si="7"/>
        <v>0</v>
      </c>
      <c r="N14" s="90">
        <v>0</v>
      </c>
      <c r="O14" s="51">
        <v>1</v>
      </c>
      <c r="P14" s="93">
        <f t="shared" ref="P14:P24" si="13">P13</f>
        <v>175.70874888888889</v>
      </c>
      <c r="Q14" s="93">
        <f t="shared" si="11"/>
        <v>175.70874888888889</v>
      </c>
      <c r="R14" s="120">
        <f t="shared" si="8"/>
        <v>175.70874888888889</v>
      </c>
      <c r="S14" s="124">
        <f t="shared" si="12"/>
        <v>6.1498062111111116</v>
      </c>
    </row>
    <row r="15" spans="1:19" x14ac:dyDescent="0.3">
      <c r="A15" s="2" t="s">
        <v>26</v>
      </c>
      <c r="B15" s="2" t="s">
        <v>117</v>
      </c>
      <c r="C15" s="145">
        <v>228</v>
      </c>
      <c r="D15" s="95">
        <f t="shared" si="0"/>
        <v>181.85855509999999</v>
      </c>
      <c r="E15" s="142">
        <f t="shared" si="9"/>
        <v>20.237475833333338</v>
      </c>
      <c r="F15" s="111">
        <f t="shared" si="1"/>
        <v>259.79793585714287</v>
      </c>
      <c r="G15" s="115">
        <f t="shared" si="2"/>
        <v>242.47807346666664</v>
      </c>
      <c r="H15" s="107">
        <f t="shared" si="3"/>
        <v>227.32319387499999</v>
      </c>
      <c r="I15" s="103">
        <f t="shared" si="4"/>
        <v>213.95124129411764</v>
      </c>
      <c r="J15" s="99">
        <f t="shared" si="5"/>
        <v>202.0650612222222</v>
      </c>
      <c r="K15" s="88">
        <v>0</v>
      </c>
      <c r="L15" s="88">
        <f t="shared" si="6"/>
        <v>0</v>
      </c>
      <c r="M15" s="90">
        <f t="shared" si="7"/>
        <v>0</v>
      </c>
      <c r="N15" s="90">
        <v>0</v>
      </c>
      <c r="O15" s="51">
        <v>1</v>
      </c>
      <c r="P15" s="93">
        <f t="shared" si="13"/>
        <v>175.70874888888889</v>
      </c>
      <c r="Q15" s="93">
        <f t="shared" si="11"/>
        <v>175.70874888888889</v>
      </c>
      <c r="R15" s="120">
        <f t="shared" si="8"/>
        <v>175.70874888888889</v>
      </c>
      <c r="S15" s="124">
        <f t="shared" si="12"/>
        <v>6.1498062111111116</v>
      </c>
    </row>
    <row r="16" spans="1:19" x14ac:dyDescent="0.3">
      <c r="A16" s="2" t="s">
        <v>26</v>
      </c>
      <c r="B16" s="2" t="s">
        <v>118</v>
      </c>
      <c r="C16" s="145">
        <v>248</v>
      </c>
      <c r="D16" s="95">
        <f t="shared" si="0"/>
        <v>181.85855509999999</v>
      </c>
      <c r="E16" s="142">
        <f t="shared" si="9"/>
        <v>26.669937459677424</v>
      </c>
      <c r="F16" s="111">
        <f t="shared" si="1"/>
        <v>259.79793585714287</v>
      </c>
      <c r="G16" s="115">
        <f t="shared" si="2"/>
        <v>242.47807346666664</v>
      </c>
      <c r="H16" s="107">
        <f t="shared" si="3"/>
        <v>227.32319387499999</v>
      </c>
      <c r="I16" s="103">
        <f t="shared" si="4"/>
        <v>213.95124129411764</v>
      </c>
      <c r="J16" s="99">
        <f t="shared" si="5"/>
        <v>202.0650612222222</v>
      </c>
      <c r="K16" s="88">
        <v>0</v>
      </c>
      <c r="L16" s="88">
        <f t="shared" si="6"/>
        <v>0</v>
      </c>
      <c r="M16" s="90">
        <f t="shared" si="7"/>
        <v>0</v>
      </c>
      <c r="N16" s="90">
        <v>0</v>
      </c>
      <c r="O16" s="51">
        <v>1</v>
      </c>
      <c r="P16" s="93">
        <f t="shared" si="13"/>
        <v>175.70874888888889</v>
      </c>
      <c r="Q16" s="93">
        <f t="shared" si="11"/>
        <v>175.70874888888889</v>
      </c>
      <c r="R16" s="120">
        <f t="shared" si="8"/>
        <v>175.70874888888889</v>
      </c>
      <c r="S16" s="124">
        <f t="shared" si="12"/>
        <v>6.1498062111111116</v>
      </c>
    </row>
    <row r="17" spans="1:19" x14ac:dyDescent="0.3">
      <c r="A17" s="2" t="s">
        <v>26</v>
      </c>
      <c r="B17" s="2" t="s">
        <v>119</v>
      </c>
      <c r="C17" s="145">
        <v>228</v>
      </c>
      <c r="D17" s="95">
        <f t="shared" si="0"/>
        <v>183.94488222499999</v>
      </c>
      <c r="E17" s="142">
        <f t="shared" si="9"/>
        <v>19.322420076754394</v>
      </c>
      <c r="F17" s="111">
        <f t="shared" si="1"/>
        <v>262.77840317857141</v>
      </c>
      <c r="G17" s="115">
        <f t="shared" si="2"/>
        <v>245.25984296666664</v>
      </c>
      <c r="H17" s="107">
        <f t="shared" si="3"/>
        <v>229.93110278124996</v>
      </c>
      <c r="I17" s="103">
        <f t="shared" si="4"/>
        <v>216.40574379411763</v>
      </c>
      <c r="J17" s="99">
        <f t="shared" si="5"/>
        <v>204.38320247222219</v>
      </c>
      <c r="K17" s="88">
        <f>'Part Pricing'!B2</f>
        <v>1.86</v>
      </c>
      <c r="L17" s="88">
        <f t="shared" si="6"/>
        <v>0.15577500000000002</v>
      </c>
      <c r="M17" s="90">
        <f t="shared" si="7"/>
        <v>2.0157750000000001</v>
      </c>
      <c r="N17" s="90">
        <v>0</v>
      </c>
      <c r="O17" s="51">
        <v>1</v>
      </c>
      <c r="P17" s="93">
        <f t="shared" si="13"/>
        <v>175.70874888888889</v>
      </c>
      <c r="Q17" s="93">
        <f t="shared" si="11"/>
        <v>175.70874888888889</v>
      </c>
      <c r="R17" s="120">
        <f t="shared" si="8"/>
        <v>177.72452388888888</v>
      </c>
      <c r="S17" s="124">
        <f t="shared" si="12"/>
        <v>6.2203583361111114</v>
      </c>
    </row>
    <row r="18" spans="1:19" x14ac:dyDescent="0.3">
      <c r="A18" s="2" t="s">
        <v>26</v>
      </c>
      <c r="B18" s="2" t="s">
        <v>120</v>
      </c>
      <c r="C18" s="145">
        <v>358</v>
      </c>
      <c r="D18" s="95">
        <f t="shared" si="0"/>
        <v>202.55357416250001</v>
      </c>
      <c r="E18" s="142">
        <f t="shared" si="9"/>
        <v>43.420789340083793</v>
      </c>
      <c r="F18" s="111">
        <f t="shared" si="1"/>
        <v>289.36224880357145</v>
      </c>
      <c r="G18" s="115">
        <f t="shared" si="2"/>
        <v>270.07143221666666</v>
      </c>
      <c r="H18" s="107">
        <f t="shared" si="3"/>
        <v>253.19196770312502</v>
      </c>
      <c r="I18" s="103">
        <f t="shared" si="4"/>
        <v>238.29832254411767</v>
      </c>
      <c r="J18" s="99">
        <f t="shared" si="5"/>
        <v>225.05952684722223</v>
      </c>
      <c r="K18" s="88">
        <f>'Part Combo'!D18</f>
        <v>18.45</v>
      </c>
      <c r="L18" s="88">
        <f t="shared" si="6"/>
        <v>1.5451874999999999</v>
      </c>
      <c r="M18" s="90">
        <f t="shared" si="7"/>
        <v>19.9951875</v>
      </c>
      <c r="N18" s="90">
        <v>0</v>
      </c>
      <c r="O18" s="51">
        <v>1</v>
      </c>
      <c r="P18" s="93">
        <f t="shared" si="13"/>
        <v>175.70874888888889</v>
      </c>
      <c r="Q18" s="93">
        <f t="shared" si="11"/>
        <v>175.70874888888889</v>
      </c>
      <c r="R18" s="120">
        <f t="shared" si="8"/>
        <v>195.70393638888891</v>
      </c>
      <c r="S18" s="124">
        <f t="shared" si="12"/>
        <v>6.8496377736111125</v>
      </c>
    </row>
    <row r="19" spans="1:19" x14ac:dyDescent="0.3">
      <c r="A19" s="2" t="s">
        <v>26</v>
      </c>
      <c r="B19" s="2" t="s">
        <v>398</v>
      </c>
      <c r="C19" s="145">
        <v>248</v>
      </c>
      <c r="D19" s="95">
        <f t="shared" si="0"/>
        <v>191.33676166250001</v>
      </c>
      <c r="E19" s="142">
        <f t="shared" si="9"/>
        <v>22.848079974798381</v>
      </c>
      <c r="F19" s="111">
        <f t="shared" si="1"/>
        <v>273.33823094642861</v>
      </c>
      <c r="G19" s="115">
        <f t="shared" si="2"/>
        <v>255.11568221666667</v>
      </c>
      <c r="H19" s="107">
        <f t="shared" si="3"/>
        <v>239.170952078125</v>
      </c>
      <c r="I19" s="103">
        <f t="shared" si="4"/>
        <v>225.10207254411768</v>
      </c>
      <c r="J19" s="99">
        <f t="shared" si="5"/>
        <v>212.59640184722224</v>
      </c>
      <c r="K19" s="88">
        <f>'Part Combo'!D101</f>
        <v>8.4499999999999993</v>
      </c>
      <c r="L19" s="88">
        <f t="shared" si="6"/>
        <v>0.70768750000000002</v>
      </c>
      <c r="M19" s="90">
        <f t="shared" si="7"/>
        <v>9.1576874999999998</v>
      </c>
      <c r="N19" s="90">
        <v>0</v>
      </c>
      <c r="O19" s="51">
        <v>1</v>
      </c>
      <c r="P19" s="93">
        <f t="shared" si="13"/>
        <v>175.70874888888889</v>
      </c>
      <c r="Q19" s="93">
        <f t="shared" si="11"/>
        <v>175.70874888888889</v>
      </c>
      <c r="R19" s="120">
        <f t="shared" si="8"/>
        <v>184.8664363888889</v>
      </c>
      <c r="S19" s="124">
        <f t="shared" si="12"/>
        <v>6.4703252736111123</v>
      </c>
    </row>
    <row r="20" spans="1:19" x14ac:dyDescent="0.3">
      <c r="A20" s="2" t="s">
        <v>26</v>
      </c>
      <c r="B20" s="2" t="s">
        <v>395</v>
      </c>
      <c r="C20" s="145">
        <v>398</v>
      </c>
      <c r="D20" s="95">
        <f t="shared" si="0"/>
        <v>200.814968225</v>
      </c>
      <c r="E20" s="142">
        <f t="shared" si="9"/>
        <v>49.543977832914571</v>
      </c>
      <c r="F20" s="111">
        <f t="shared" si="1"/>
        <v>286.87852603571429</v>
      </c>
      <c r="G20" s="115">
        <f t="shared" si="2"/>
        <v>267.75329096666667</v>
      </c>
      <c r="H20" s="107">
        <f t="shared" si="3"/>
        <v>251.01871028124998</v>
      </c>
      <c r="I20" s="103">
        <f t="shared" si="4"/>
        <v>236.25290379411766</v>
      </c>
      <c r="J20" s="99">
        <f t="shared" si="5"/>
        <v>223.12774247222222</v>
      </c>
      <c r="K20" s="88">
        <f>'Part Combo'!D105</f>
        <v>16.899999999999999</v>
      </c>
      <c r="L20" s="88">
        <f t="shared" si="6"/>
        <v>1.415375</v>
      </c>
      <c r="M20" s="90">
        <f t="shared" si="7"/>
        <v>18.315375</v>
      </c>
      <c r="N20" s="90">
        <v>0</v>
      </c>
      <c r="O20" s="51">
        <v>1</v>
      </c>
      <c r="P20" s="93">
        <f t="shared" si="13"/>
        <v>175.70874888888889</v>
      </c>
      <c r="Q20" s="93">
        <f t="shared" si="11"/>
        <v>175.70874888888889</v>
      </c>
      <c r="R20" s="120">
        <f t="shared" si="8"/>
        <v>194.02412388888888</v>
      </c>
      <c r="S20" s="124">
        <f t="shared" si="12"/>
        <v>6.7908443361111113</v>
      </c>
    </row>
    <row r="21" spans="1:19" x14ac:dyDescent="0.3">
      <c r="A21" s="2" t="s">
        <v>26</v>
      </c>
      <c r="B21" s="2" t="s">
        <v>125</v>
      </c>
      <c r="C21" s="145">
        <v>248</v>
      </c>
      <c r="D21" s="95">
        <f t="shared" si="0"/>
        <v>187.53426222500002</v>
      </c>
      <c r="E21" s="142">
        <f t="shared" si="9"/>
        <v>24.38134587701612</v>
      </c>
      <c r="F21" s="111">
        <f t="shared" si="1"/>
        <v>267.90608889285721</v>
      </c>
      <c r="G21" s="115">
        <f t="shared" si="2"/>
        <v>250.0456829666667</v>
      </c>
      <c r="H21" s="107">
        <f t="shared" si="3"/>
        <v>234.41782778125003</v>
      </c>
      <c r="I21" s="103">
        <f t="shared" si="4"/>
        <v>220.62854379411769</v>
      </c>
      <c r="J21" s="99">
        <f t="shared" si="5"/>
        <v>208.37140247222223</v>
      </c>
      <c r="K21" s="88">
        <f>'Part Pricing'!B30</f>
        <v>5.0599999999999996</v>
      </c>
      <c r="L21" s="88">
        <f t="shared" si="6"/>
        <v>0.42377500000000001</v>
      </c>
      <c r="M21" s="90">
        <f t="shared" si="7"/>
        <v>5.4837749999999996</v>
      </c>
      <c r="N21" s="90">
        <v>0</v>
      </c>
      <c r="O21" s="51">
        <v>1</v>
      </c>
      <c r="P21" s="93">
        <f t="shared" si="13"/>
        <v>175.70874888888889</v>
      </c>
      <c r="Q21" s="93">
        <f t="shared" si="11"/>
        <v>175.70874888888889</v>
      </c>
      <c r="R21" s="120">
        <f t="shared" si="8"/>
        <v>181.1925238888889</v>
      </c>
      <c r="S21" s="124">
        <f t="shared" si="12"/>
        <v>6.3417383361111117</v>
      </c>
    </row>
    <row r="22" spans="1:19" x14ac:dyDescent="0.3">
      <c r="A22" s="2" t="s">
        <v>26</v>
      </c>
      <c r="B22" s="2" t="s">
        <v>129</v>
      </c>
      <c r="C22" s="145">
        <v>298</v>
      </c>
      <c r="D22" s="95">
        <f t="shared" si="0"/>
        <v>254.63323460000001</v>
      </c>
      <c r="E22" s="142">
        <f t="shared" si="9"/>
        <v>14.552605838926173</v>
      </c>
      <c r="F22" s="111">
        <f t="shared" si="1"/>
        <v>363.76176371428573</v>
      </c>
      <c r="G22" s="115">
        <f t="shared" si="2"/>
        <v>339.5109794666667</v>
      </c>
      <c r="H22" s="107">
        <f t="shared" si="3"/>
        <v>318.29154325000002</v>
      </c>
      <c r="I22" s="103">
        <f t="shared" si="4"/>
        <v>299.56851129411768</v>
      </c>
      <c r="J22" s="99">
        <f t="shared" si="5"/>
        <v>282.92581622222224</v>
      </c>
      <c r="K22" s="88">
        <f>'Part Pricing'!B12</f>
        <v>64.88</v>
      </c>
      <c r="L22" s="88">
        <f t="shared" si="6"/>
        <v>5.4337</v>
      </c>
      <c r="M22" s="90">
        <f t="shared" si="7"/>
        <v>70.313699999999997</v>
      </c>
      <c r="N22" s="90">
        <v>0</v>
      </c>
      <c r="O22" s="51">
        <v>1</v>
      </c>
      <c r="P22" s="93">
        <f t="shared" si="13"/>
        <v>175.70874888888889</v>
      </c>
      <c r="Q22" s="93">
        <f t="shared" si="11"/>
        <v>175.70874888888889</v>
      </c>
      <c r="R22" s="120">
        <f t="shared" si="8"/>
        <v>246.0224488888889</v>
      </c>
      <c r="S22" s="124">
        <f t="shared" si="12"/>
        <v>8.610785711111113</v>
      </c>
    </row>
    <row r="23" spans="1:19" x14ac:dyDescent="0.3">
      <c r="A23" s="2" t="s">
        <v>26</v>
      </c>
      <c r="B23" s="2" t="s">
        <v>24</v>
      </c>
      <c r="C23" s="145">
        <v>278</v>
      </c>
      <c r="D23" s="95">
        <f t="shared" si="0"/>
        <v>246.91606759999999</v>
      </c>
      <c r="E23" s="142">
        <f t="shared" si="9"/>
        <v>11.181270647482018</v>
      </c>
      <c r="F23" s="111">
        <f t="shared" si="1"/>
        <v>352.73723942857146</v>
      </c>
      <c r="G23" s="115">
        <f t="shared" si="2"/>
        <v>329.22142346666664</v>
      </c>
      <c r="H23" s="107">
        <f t="shared" si="3"/>
        <v>308.6450845</v>
      </c>
      <c r="I23" s="103">
        <f t="shared" si="4"/>
        <v>290.48949129411767</v>
      </c>
      <c r="J23" s="99">
        <f t="shared" si="5"/>
        <v>274.35118622222222</v>
      </c>
      <c r="K23" s="88">
        <f>'Part Pricing'!B113</f>
        <v>58</v>
      </c>
      <c r="L23" s="88">
        <f t="shared" si="6"/>
        <v>4.8574999999999999</v>
      </c>
      <c r="M23" s="90">
        <f t="shared" si="7"/>
        <v>62.857500000000002</v>
      </c>
      <c r="N23" s="90">
        <v>0</v>
      </c>
      <c r="O23" s="51">
        <v>1</v>
      </c>
      <c r="P23" s="93">
        <f t="shared" si="13"/>
        <v>175.70874888888889</v>
      </c>
      <c r="Q23" s="93">
        <f t="shared" si="11"/>
        <v>175.70874888888889</v>
      </c>
      <c r="R23" s="120">
        <f t="shared" si="8"/>
        <v>238.56624888888888</v>
      </c>
      <c r="S23" s="124">
        <f t="shared" si="12"/>
        <v>8.3498187111111122</v>
      </c>
    </row>
    <row r="24" spans="1:19" x14ac:dyDescent="0.3">
      <c r="A24" s="2" t="s">
        <v>26</v>
      </c>
      <c r="B24" s="2" t="s">
        <v>482</v>
      </c>
      <c r="C24" s="145">
        <v>598</v>
      </c>
      <c r="D24" s="95">
        <f t="shared" si="0"/>
        <v>416.63803157500001</v>
      </c>
      <c r="E24" s="142">
        <f t="shared" si="9"/>
        <v>30.328088365384616</v>
      </c>
      <c r="F24" s="111">
        <f t="shared" si="1"/>
        <v>595.19718796428572</v>
      </c>
      <c r="G24" s="115">
        <f t="shared" si="2"/>
        <v>555.51737543333331</v>
      </c>
      <c r="H24" s="107">
        <f t="shared" si="3"/>
        <v>520.79753946874996</v>
      </c>
      <c r="I24" s="103">
        <f t="shared" si="4"/>
        <v>490.16239008823533</v>
      </c>
      <c r="J24" s="99">
        <f t="shared" si="5"/>
        <v>462.93114619444447</v>
      </c>
      <c r="K24" s="128">
        <f>'Part Combo'!D23</f>
        <v>47.18</v>
      </c>
      <c r="L24" s="88">
        <f t="shared" si="6"/>
        <v>3.9513250000000002</v>
      </c>
      <c r="M24" s="90">
        <f t="shared" si="7"/>
        <v>51.131324999999997</v>
      </c>
      <c r="N24" s="90">
        <v>0</v>
      </c>
      <c r="O24" s="51">
        <v>2</v>
      </c>
      <c r="P24" s="93">
        <f t="shared" si="13"/>
        <v>175.70874888888889</v>
      </c>
      <c r="Q24" s="93">
        <f t="shared" si="11"/>
        <v>351.41749777777778</v>
      </c>
      <c r="R24" s="120">
        <f t="shared" si="8"/>
        <v>402.54882277777779</v>
      </c>
      <c r="S24" s="124">
        <f t="shared" si="12"/>
        <v>14.089208797222224</v>
      </c>
    </row>
    <row r="25" spans="1:19" x14ac:dyDescent="0.3">
      <c r="A25" s="4" t="s">
        <v>150</v>
      </c>
      <c r="B25" s="2"/>
      <c r="C25" s="145"/>
      <c r="D25" s="94" t="s">
        <v>147</v>
      </c>
      <c r="E25" s="142"/>
      <c r="F25" s="110" t="s">
        <v>459</v>
      </c>
      <c r="G25" s="115" t="s">
        <v>490</v>
      </c>
      <c r="H25" s="107" t="s">
        <v>489</v>
      </c>
      <c r="I25" s="103" t="s">
        <v>491</v>
      </c>
      <c r="J25" s="99" t="s">
        <v>488</v>
      </c>
      <c r="K25" s="88" t="s">
        <v>457</v>
      </c>
      <c r="L25" s="88" t="s">
        <v>454</v>
      </c>
      <c r="M25" s="90" t="s">
        <v>456</v>
      </c>
      <c r="N25" s="90" t="s">
        <v>148</v>
      </c>
      <c r="O25" s="51" t="s">
        <v>146</v>
      </c>
      <c r="P25" s="51" t="s">
        <v>453</v>
      </c>
      <c r="Q25" s="51" t="s">
        <v>458</v>
      </c>
      <c r="R25" s="119" t="s">
        <v>455</v>
      </c>
      <c r="S25" s="123" t="s">
        <v>492</v>
      </c>
    </row>
    <row r="26" spans="1:19" x14ac:dyDescent="0.3">
      <c r="A26" s="2" t="s">
        <v>35</v>
      </c>
      <c r="B26" s="2" t="s">
        <v>36</v>
      </c>
      <c r="C26" s="145">
        <v>268</v>
      </c>
      <c r="D26" s="96">
        <f>R26+S26</f>
        <v>186.35649691249998</v>
      </c>
      <c r="E26" s="142">
        <f t="shared" si="9"/>
        <v>30.463993689365683</v>
      </c>
      <c r="F26" s="112">
        <f>D26/0.7</f>
        <v>266.22356701785714</v>
      </c>
      <c r="G26" s="116">
        <f>D26/0.75</f>
        <v>248.47532921666664</v>
      </c>
      <c r="H26" s="108">
        <f>D26/0.8</f>
        <v>232.94562114062495</v>
      </c>
      <c r="I26" s="104">
        <f>D26/0.85</f>
        <v>219.24293754411764</v>
      </c>
      <c r="J26" s="100">
        <f>D26/0.9</f>
        <v>207.06277434722219</v>
      </c>
      <c r="K26" s="128">
        <f>'Part Pricing'!B5</f>
        <v>4.01</v>
      </c>
      <c r="L26" s="88">
        <f>K26*0.08375</f>
        <v>0.33583750000000001</v>
      </c>
      <c r="M26" s="90">
        <f>K26+L26</f>
        <v>4.3458375</v>
      </c>
      <c r="N26" s="90">
        <v>0</v>
      </c>
      <c r="O26" s="51">
        <v>1</v>
      </c>
      <c r="P26" s="93">
        <f>P2</f>
        <v>175.70874888888889</v>
      </c>
      <c r="Q26" s="93">
        <f>O26*P26</f>
        <v>175.70874888888889</v>
      </c>
      <c r="R26" s="121">
        <f>M26+Q26</f>
        <v>180.05458638888888</v>
      </c>
      <c r="S26" s="125">
        <f>R26*0.035</f>
        <v>6.3019105236111113</v>
      </c>
    </row>
    <row r="27" spans="1:19" x14ac:dyDescent="0.3">
      <c r="A27" s="2" t="s">
        <v>35</v>
      </c>
      <c r="B27" s="2" t="s">
        <v>102</v>
      </c>
      <c r="C27" s="145">
        <v>498</v>
      </c>
      <c r="D27" s="96">
        <f>R27+S27</f>
        <v>302.30468772500001</v>
      </c>
      <c r="E27" s="142">
        <f t="shared" si="9"/>
        <v>39.296247444779112</v>
      </c>
      <c r="F27" s="112">
        <f>D27/0.7</f>
        <v>431.86383960714289</v>
      </c>
      <c r="G27" s="116">
        <f>D27/0.75</f>
        <v>403.0729169666667</v>
      </c>
      <c r="H27" s="108">
        <f>D27/0.8</f>
        <v>377.88085965624998</v>
      </c>
      <c r="I27" s="104">
        <f>D27/0.85</f>
        <v>355.65257379411764</v>
      </c>
      <c r="J27" s="100">
        <f>D27/0.9</f>
        <v>335.8940974722222</v>
      </c>
      <c r="K27" s="128">
        <f>'Part Pricing'!B6</f>
        <v>107.38</v>
      </c>
      <c r="L27" s="88">
        <f>K27*0.08375</f>
        <v>8.993075000000001</v>
      </c>
      <c r="M27" s="90">
        <f>K27+L27</f>
        <v>116.373075</v>
      </c>
      <c r="N27" s="90">
        <v>0</v>
      </c>
      <c r="O27" s="51">
        <v>1</v>
      </c>
      <c r="P27" s="93">
        <f>P3</f>
        <v>175.70874888888889</v>
      </c>
      <c r="Q27" s="93">
        <f>O27*P27</f>
        <v>175.70874888888889</v>
      </c>
      <c r="R27" s="121">
        <f>M27+Q27</f>
        <v>292.08182388888889</v>
      </c>
      <c r="S27" s="125">
        <f>R27*0.035</f>
        <v>10.222863836111113</v>
      </c>
    </row>
    <row r="28" spans="1:19" x14ac:dyDescent="0.3">
      <c r="A28" s="4" t="s">
        <v>0</v>
      </c>
      <c r="B28" s="2"/>
      <c r="C28" s="145"/>
      <c r="D28" s="94" t="s">
        <v>147</v>
      </c>
      <c r="E28" s="142"/>
      <c r="F28" s="110" t="s">
        <v>459</v>
      </c>
      <c r="G28" s="114" t="s">
        <v>490</v>
      </c>
      <c r="H28" s="106" t="s">
        <v>489</v>
      </c>
      <c r="I28" s="102" t="s">
        <v>491</v>
      </c>
      <c r="J28" s="98" t="s">
        <v>488</v>
      </c>
      <c r="K28" s="88" t="s">
        <v>457</v>
      </c>
      <c r="L28" s="88" t="s">
        <v>454</v>
      </c>
      <c r="M28" s="90" t="s">
        <v>456</v>
      </c>
      <c r="N28" s="90" t="s">
        <v>148</v>
      </c>
      <c r="O28" s="51" t="s">
        <v>146</v>
      </c>
      <c r="P28" s="51" t="s">
        <v>453</v>
      </c>
      <c r="Q28" s="51" t="s">
        <v>458</v>
      </c>
      <c r="R28" s="119" t="s">
        <v>455</v>
      </c>
      <c r="S28" s="123" t="s">
        <v>492</v>
      </c>
    </row>
    <row r="29" spans="1:19" x14ac:dyDescent="0.3">
      <c r="A29" s="2" t="s">
        <v>0</v>
      </c>
      <c r="B29" s="2" t="s">
        <v>1</v>
      </c>
      <c r="C29" s="145">
        <v>228</v>
      </c>
      <c r="D29" s="95">
        <f t="shared" ref="D29:D38" si="14">R29+S29</f>
        <v>181.85855509999999</v>
      </c>
      <c r="E29" s="142">
        <f t="shared" si="9"/>
        <v>20.237475833333338</v>
      </c>
      <c r="F29" s="111">
        <f t="shared" ref="F29:F38" si="15">D29/0.7</f>
        <v>259.79793585714287</v>
      </c>
      <c r="G29" s="115">
        <f t="shared" ref="G29:G38" si="16">D29/0.75</f>
        <v>242.47807346666664</v>
      </c>
      <c r="H29" s="107">
        <f t="shared" ref="H29:H38" si="17">D29/0.8</f>
        <v>227.32319387499999</v>
      </c>
      <c r="I29" s="103">
        <f t="shared" ref="I29:I38" si="18">D29/0.85</f>
        <v>213.95124129411764</v>
      </c>
      <c r="J29" s="99">
        <f t="shared" ref="J29:J38" si="19">D29/0.9</f>
        <v>202.0650612222222</v>
      </c>
      <c r="K29" s="88">
        <v>0</v>
      </c>
      <c r="L29" s="88">
        <f t="shared" ref="L29:L38" si="20">K29*0.08375</f>
        <v>0</v>
      </c>
      <c r="M29" s="90">
        <f t="shared" ref="M29:M38" si="21">K29+L29</f>
        <v>0</v>
      </c>
      <c r="N29" s="90">
        <v>0</v>
      </c>
      <c r="O29" s="51">
        <v>1</v>
      </c>
      <c r="P29" s="93">
        <f t="shared" ref="P29:P38" si="22">P2</f>
        <v>175.70874888888889</v>
      </c>
      <c r="Q29" s="93">
        <f>(O29*P29) +N29</f>
        <v>175.70874888888889</v>
      </c>
      <c r="R29" s="120">
        <f t="shared" ref="R29:R38" si="23">Q29+M29</f>
        <v>175.70874888888889</v>
      </c>
      <c r="S29" s="124">
        <f>R29*0.035</f>
        <v>6.1498062111111116</v>
      </c>
    </row>
    <row r="30" spans="1:19" x14ac:dyDescent="0.3">
      <c r="A30" s="2" t="s">
        <v>0</v>
      </c>
      <c r="B30" s="2" t="s">
        <v>8</v>
      </c>
      <c r="C30" s="145">
        <v>228</v>
      </c>
      <c r="D30" s="95">
        <f t="shared" si="14"/>
        <v>181.85855509999999</v>
      </c>
      <c r="E30" s="142">
        <f t="shared" si="9"/>
        <v>20.237475833333338</v>
      </c>
      <c r="F30" s="111">
        <f t="shared" si="15"/>
        <v>259.79793585714287</v>
      </c>
      <c r="G30" s="115">
        <f t="shared" si="16"/>
        <v>242.47807346666664</v>
      </c>
      <c r="H30" s="107">
        <f t="shared" si="17"/>
        <v>227.32319387499999</v>
      </c>
      <c r="I30" s="103">
        <f t="shared" si="18"/>
        <v>213.95124129411764</v>
      </c>
      <c r="J30" s="99">
        <f t="shared" si="19"/>
        <v>202.0650612222222</v>
      </c>
      <c r="K30" s="88">
        <v>0</v>
      </c>
      <c r="L30" s="88">
        <f t="shared" si="20"/>
        <v>0</v>
      </c>
      <c r="M30" s="90">
        <f t="shared" si="21"/>
        <v>0</v>
      </c>
      <c r="N30" s="90">
        <v>0</v>
      </c>
      <c r="O30" s="51">
        <v>1</v>
      </c>
      <c r="P30" s="93">
        <f t="shared" si="22"/>
        <v>175.70874888888889</v>
      </c>
      <c r="Q30" s="93">
        <f t="shared" ref="Q30:Q38" si="24">(O30*P30) +N30</f>
        <v>175.70874888888889</v>
      </c>
      <c r="R30" s="120">
        <f t="shared" si="23"/>
        <v>175.70874888888889</v>
      </c>
      <c r="S30" s="124">
        <f t="shared" ref="S30:S38" si="25">R30*0.035</f>
        <v>6.1498062111111116</v>
      </c>
    </row>
    <row r="31" spans="1:19" x14ac:dyDescent="0.3">
      <c r="A31" s="2" t="s">
        <v>0</v>
      </c>
      <c r="B31" s="2" t="s">
        <v>127</v>
      </c>
      <c r="C31" s="145">
        <v>228</v>
      </c>
      <c r="D31" s="95">
        <f t="shared" si="14"/>
        <v>181.85855509999999</v>
      </c>
      <c r="E31" s="142">
        <f t="shared" si="9"/>
        <v>20.237475833333338</v>
      </c>
      <c r="F31" s="111">
        <f t="shared" si="15"/>
        <v>259.79793585714287</v>
      </c>
      <c r="G31" s="115">
        <f t="shared" si="16"/>
        <v>242.47807346666664</v>
      </c>
      <c r="H31" s="107">
        <f t="shared" si="17"/>
        <v>227.32319387499999</v>
      </c>
      <c r="I31" s="103">
        <f t="shared" si="18"/>
        <v>213.95124129411764</v>
      </c>
      <c r="J31" s="99">
        <f t="shared" si="19"/>
        <v>202.0650612222222</v>
      </c>
      <c r="K31" s="88">
        <v>0</v>
      </c>
      <c r="L31" s="88">
        <f t="shared" si="20"/>
        <v>0</v>
      </c>
      <c r="M31" s="90">
        <f t="shared" si="21"/>
        <v>0</v>
      </c>
      <c r="N31" s="90">
        <v>0</v>
      </c>
      <c r="O31" s="51">
        <v>1</v>
      </c>
      <c r="P31" s="93">
        <f t="shared" si="22"/>
        <v>175.70874888888889</v>
      </c>
      <c r="Q31" s="93">
        <f t="shared" si="24"/>
        <v>175.70874888888889</v>
      </c>
      <c r="R31" s="120">
        <f t="shared" si="23"/>
        <v>175.70874888888889</v>
      </c>
      <c r="S31" s="124">
        <f t="shared" si="25"/>
        <v>6.1498062111111116</v>
      </c>
    </row>
    <row r="32" spans="1:19" x14ac:dyDescent="0.3">
      <c r="A32" s="2" t="s">
        <v>0</v>
      </c>
      <c r="B32" s="2" t="s">
        <v>2</v>
      </c>
      <c r="C32" s="145">
        <v>258</v>
      </c>
      <c r="D32" s="95">
        <f t="shared" si="14"/>
        <v>181.85855509999999</v>
      </c>
      <c r="E32" s="142">
        <f t="shared" si="9"/>
        <v>29.512187945736439</v>
      </c>
      <c r="F32" s="111">
        <f t="shared" si="15"/>
        <v>259.79793585714287</v>
      </c>
      <c r="G32" s="115">
        <f t="shared" si="16"/>
        <v>242.47807346666664</v>
      </c>
      <c r="H32" s="107">
        <f t="shared" si="17"/>
        <v>227.32319387499999</v>
      </c>
      <c r="I32" s="103">
        <f t="shared" si="18"/>
        <v>213.95124129411764</v>
      </c>
      <c r="J32" s="99">
        <f t="shared" si="19"/>
        <v>202.0650612222222</v>
      </c>
      <c r="K32" s="88">
        <v>0</v>
      </c>
      <c r="L32" s="88">
        <f t="shared" si="20"/>
        <v>0</v>
      </c>
      <c r="M32" s="90">
        <f t="shared" si="21"/>
        <v>0</v>
      </c>
      <c r="N32" s="90">
        <v>0</v>
      </c>
      <c r="O32" s="51">
        <v>1</v>
      </c>
      <c r="P32" s="93">
        <f t="shared" si="22"/>
        <v>175.70874888888889</v>
      </c>
      <c r="Q32" s="93">
        <f t="shared" si="24"/>
        <v>175.70874888888889</v>
      </c>
      <c r="R32" s="120">
        <f t="shared" si="23"/>
        <v>175.70874888888889</v>
      </c>
      <c r="S32" s="124">
        <f t="shared" si="25"/>
        <v>6.1498062111111116</v>
      </c>
    </row>
    <row r="33" spans="1:19" x14ac:dyDescent="0.3">
      <c r="A33" s="2" t="s">
        <v>0</v>
      </c>
      <c r="B33" s="2" t="s">
        <v>9</v>
      </c>
      <c r="C33" s="145">
        <v>348</v>
      </c>
      <c r="D33" s="95">
        <f t="shared" si="14"/>
        <v>181.85855509999999</v>
      </c>
      <c r="E33" s="142">
        <f t="shared" si="9"/>
        <v>47.741794511494255</v>
      </c>
      <c r="F33" s="111">
        <f t="shared" si="15"/>
        <v>259.79793585714287</v>
      </c>
      <c r="G33" s="115">
        <f t="shared" si="16"/>
        <v>242.47807346666664</v>
      </c>
      <c r="H33" s="107">
        <f t="shared" si="17"/>
        <v>227.32319387499999</v>
      </c>
      <c r="I33" s="103">
        <f t="shared" si="18"/>
        <v>213.95124129411764</v>
      </c>
      <c r="J33" s="99">
        <f t="shared" si="19"/>
        <v>202.0650612222222</v>
      </c>
      <c r="K33" s="88">
        <v>0</v>
      </c>
      <c r="L33" s="88">
        <f t="shared" si="20"/>
        <v>0</v>
      </c>
      <c r="M33" s="90">
        <f t="shared" si="21"/>
        <v>0</v>
      </c>
      <c r="N33" s="90">
        <v>0</v>
      </c>
      <c r="O33" s="51">
        <v>1</v>
      </c>
      <c r="P33" s="93">
        <f t="shared" si="22"/>
        <v>175.70874888888889</v>
      </c>
      <c r="Q33" s="93">
        <f t="shared" si="24"/>
        <v>175.70874888888889</v>
      </c>
      <c r="R33" s="120">
        <f t="shared" si="23"/>
        <v>175.70874888888889</v>
      </c>
      <c r="S33" s="124">
        <f t="shared" si="25"/>
        <v>6.1498062111111116</v>
      </c>
    </row>
    <row r="34" spans="1:19" x14ac:dyDescent="0.3">
      <c r="A34" s="2" t="s">
        <v>0</v>
      </c>
      <c r="B34" s="2" t="s">
        <v>100</v>
      </c>
      <c r="C34" s="145">
        <v>348</v>
      </c>
      <c r="D34" s="95">
        <f t="shared" si="14"/>
        <v>181.85855509999999</v>
      </c>
      <c r="E34" s="142">
        <f t="shared" si="9"/>
        <v>47.741794511494255</v>
      </c>
      <c r="F34" s="111">
        <f t="shared" si="15"/>
        <v>259.79793585714287</v>
      </c>
      <c r="G34" s="115">
        <f t="shared" si="16"/>
        <v>242.47807346666664</v>
      </c>
      <c r="H34" s="107">
        <f t="shared" si="17"/>
        <v>227.32319387499999</v>
      </c>
      <c r="I34" s="103">
        <f t="shared" si="18"/>
        <v>213.95124129411764</v>
      </c>
      <c r="J34" s="99">
        <f t="shared" si="19"/>
        <v>202.0650612222222</v>
      </c>
      <c r="K34" s="88">
        <v>0</v>
      </c>
      <c r="L34" s="88">
        <f t="shared" si="20"/>
        <v>0</v>
      </c>
      <c r="M34" s="90">
        <f t="shared" si="21"/>
        <v>0</v>
      </c>
      <c r="N34" s="90">
        <v>0</v>
      </c>
      <c r="O34" s="51">
        <v>1</v>
      </c>
      <c r="P34" s="93">
        <f t="shared" si="22"/>
        <v>175.70874888888889</v>
      </c>
      <c r="Q34" s="93">
        <f t="shared" si="24"/>
        <v>175.70874888888889</v>
      </c>
      <c r="R34" s="120">
        <f t="shared" si="23"/>
        <v>175.70874888888889</v>
      </c>
      <c r="S34" s="124">
        <f t="shared" si="25"/>
        <v>6.1498062111111116</v>
      </c>
    </row>
    <row r="35" spans="1:19" x14ac:dyDescent="0.3">
      <c r="A35" s="2" t="s">
        <v>0</v>
      </c>
      <c r="B35" s="2" t="s">
        <v>101</v>
      </c>
      <c r="C35" s="145">
        <v>458</v>
      </c>
      <c r="D35" s="95">
        <f t="shared" si="14"/>
        <v>272.78783265000004</v>
      </c>
      <c r="E35" s="142">
        <f t="shared" si="9"/>
        <v>40.439337849344966</v>
      </c>
      <c r="F35" s="111">
        <f t="shared" si="15"/>
        <v>389.69690378571437</v>
      </c>
      <c r="G35" s="115">
        <f t="shared" si="16"/>
        <v>363.71711020000004</v>
      </c>
      <c r="H35" s="107">
        <f t="shared" si="17"/>
        <v>340.98479081250002</v>
      </c>
      <c r="I35" s="103">
        <f t="shared" si="18"/>
        <v>320.92686194117653</v>
      </c>
      <c r="J35" s="99">
        <f t="shared" si="19"/>
        <v>303.09759183333335</v>
      </c>
      <c r="K35" s="88">
        <v>0</v>
      </c>
      <c r="L35" s="88">
        <f t="shared" si="20"/>
        <v>0</v>
      </c>
      <c r="M35" s="90">
        <f t="shared" si="21"/>
        <v>0</v>
      </c>
      <c r="N35" s="90">
        <v>0</v>
      </c>
      <c r="O35" s="51">
        <v>1.5</v>
      </c>
      <c r="P35" s="93">
        <f t="shared" si="22"/>
        <v>175.70874888888889</v>
      </c>
      <c r="Q35" s="93">
        <f t="shared" si="24"/>
        <v>263.56312333333335</v>
      </c>
      <c r="R35" s="120">
        <f t="shared" si="23"/>
        <v>263.56312333333335</v>
      </c>
      <c r="S35" s="124">
        <f t="shared" si="25"/>
        <v>9.2247093166666687</v>
      </c>
    </row>
    <row r="36" spans="1:19" x14ac:dyDescent="0.3">
      <c r="A36" s="2" t="s">
        <v>0</v>
      </c>
      <c r="B36" s="2" t="s">
        <v>126</v>
      </c>
      <c r="C36" s="145">
        <v>458</v>
      </c>
      <c r="D36" s="95">
        <f t="shared" si="14"/>
        <v>181.85855509999999</v>
      </c>
      <c r="E36" s="142">
        <f t="shared" si="9"/>
        <v>60.292891899563315</v>
      </c>
      <c r="F36" s="111">
        <f t="shared" si="15"/>
        <v>259.79793585714287</v>
      </c>
      <c r="G36" s="115">
        <f t="shared" si="16"/>
        <v>242.47807346666664</v>
      </c>
      <c r="H36" s="107">
        <f t="shared" si="17"/>
        <v>227.32319387499999</v>
      </c>
      <c r="I36" s="103">
        <f t="shared" si="18"/>
        <v>213.95124129411764</v>
      </c>
      <c r="J36" s="99">
        <f t="shared" si="19"/>
        <v>202.0650612222222</v>
      </c>
      <c r="K36" s="88">
        <v>0</v>
      </c>
      <c r="L36" s="88">
        <f t="shared" si="20"/>
        <v>0</v>
      </c>
      <c r="M36" s="90">
        <f t="shared" si="21"/>
        <v>0</v>
      </c>
      <c r="N36" s="90">
        <v>0</v>
      </c>
      <c r="O36" s="51">
        <v>1</v>
      </c>
      <c r="P36" s="93">
        <f t="shared" si="22"/>
        <v>175.70874888888889</v>
      </c>
      <c r="Q36" s="93">
        <f t="shared" si="24"/>
        <v>175.70874888888889</v>
      </c>
      <c r="R36" s="120">
        <f t="shared" si="23"/>
        <v>175.70874888888889</v>
      </c>
      <c r="S36" s="124">
        <f t="shared" si="25"/>
        <v>6.1498062111111116</v>
      </c>
    </row>
    <row r="37" spans="1:19" x14ac:dyDescent="0.3">
      <c r="A37" s="2" t="s">
        <v>0</v>
      </c>
      <c r="B37" s="2" t="s">
        <v>397</v>
      </c>
      <c r="C37" s="145">
        <v>938</v>
      </c>
      <c r="D37" s="95">
        <f t="shared" si="14"/>
        <v>363.71711019999998</v>
      </c>
      <c r="E37" s="142">
        <f t="shared" si="9"/>
        <v>61.224188678038381</v>
      </c>
      <c r="F37" s="111">
        <f t="shared" si="15"/>
        <v>519.59587171428575</v>
      </c>
      <c r="G37" s="115">
        <f t="shared" si="16"/>
        <v>484.95614693333329</v>
      </c>
      <c r="H37" s="107">
        <f t="shared" si="17"/>
        <v>454.64638774999997</v>
      </c>
      <c r="I37" s="103">
        <f t="shared" si="18"/>
        <v>427.90248258823527</v>
      </c>
      <c r="J37" s="99">
        <f t="shared" si="19"/>
        <v>404.1301224444444</v>
      </c>
      <c r="K37" s="88">
        <v>0</v>
      </c>
      <c r="L37" s="88">
        <f t="shared" si="20"/>
        <v>0</v>
      </c>
      <c r="M37" s="90">
        <f t="shared" si="21"/>
        <v>0</v>
      </c>
      <c r="N37" s="90">
        <v>0</v>
      </c>
      <c r="O37" s="51">
        <v>2</v>
      </c>
      <c r="P37" s="93">
        <f t="shared" si="22"/>
        <v>175.70874888888889</v>
      </c>
      <c r="Q37" s="93">
        <f t="shared" si="24"/>
        <v>351.41749777777778</v>
      </c>
      <c r="R37" s="120">
        <f t="shared" si="23"/>
        <v>351.41749777777778</v>
      </c>
      <c r="S37" s="124">
        <f t="shared" si="25"/>
        <v>12.299612422222223</v>
      </c>
    </row>
    <row r="38" spans="1:19" x14ac:dyDescent="0.3">
      <c r="A38" s="2" t="s">
        <v>0</v>
      </c>
      <c r="B38" s="2" t="s">
        <v>139</v>
      </c>
      <c r="C38" s="145">
        <v>288</v>
      </c>
      <c r="D38" s="95">
        <f t="shared" si="14"/>
        <v>195.78983622499999</v>
      </c>
      <c r="E38" s="142">
        <f t="shared" si="9"/>
        <v>32.017417977430561</v>
      </c>
      <c r="F38" s="111">
        <f t="shared" si="15"/>
        <v>279.69976603571428</v>
      </c>
      <c r="G38" s="115">
        <f t="shared" si="16"/>
        <v>261.05311496666667</v>
      </c>
      <c r="H38" s="107">
        <f t="shared" si="17"/>
        <v>244.73729528124997</v>
      </c>
      <c r="I38" s="103">
        <f t="shared" si="18"/>
        <v>230.34098379411765</v>
      </c>
      <c r="J38" s="99">
        <f t="shared" si="19"/>
        <v>217.54426247222221</v>
      </c>
      <c r="K38" s="88">
        <f>'Part Pricing'!B7</f>
        <v>12.42</v>
      </c>
      <c r="L38" s="88">
        <f t="shared" si="20"/>
        <v>1.0401750000000001</v>
      </c>
      <c r="M38" s="90">
        <f t="shared" si="21"/>
        <v>13.460175</v>
      </c>
      <c r="N38" s="90">
        <v>0</v>
      </c>
      <c r="O38" s="51">
        <v>1</v>
      </c>
      <c r="P38" s="93">
        <f t="shared" si="22"/>
        <v>175.70874888888889</v>
      </c>
      <c r="Q38" s="93">
        <f t="shared" si="24"/>
        <v>175.70874888888889</v>
      </c>
      <c r="R38" s="120">
        <f t="shared" si="23"/>
        <v>189.16892388888888</v>
      </c>
      <c r="S38" s="124">
        <f t="shared" si="25"/>
        <v>6.620912336111112</v>
      </c>
    </row>
    <row r="39" spans="1:19" x14ac:dyDescent="0.3">
      <c r="A39" s="4" t="s">
        <v>3</v>
      </c>
      <c r="B39" s="2"/>
      <c r="C39" s="145"/>
      <c r="D39" s="94" t="s">
        <v>147</v>
      </c>
      <c r="E39" s="142"/>
      <c r="F39" s="110" t="s">
        <v>459</v>
      </c>
      <c r="G39" s="114" t="s">
        <v>490</v>
      </c>
      <c r="H39" s="106" t="s">
        <v>489</v>
      </c>
      <c r="I39" s="102" t="s">
        <v>491</v>
      </c>
      <c r="J39" s="98" t="s">
        <v>488</v>
      </c>
      <c r="K39" s="88" t="s">
        <v>457</v>
      </c>
      <c r="L39" s="88" t="s">
        <v>454</v>
      </c>
      <c r="M39" s="90" t="s">
        <v>456</v>
      </c>
      <c r="N39" s="90" t="s">
        <v>148</v>
      </c>
      <c r="O39" s="51" t="s">
        <v>146</v>
      </c>
      <c r="P39" s="51" t="s">
        <v>453</v>
      </c>
      <c r="Q39" s="51" t="s">
        <v>458</v>
      </c>
      <c r="R39" s="119" t="s">
        <v>455</v>
      </c>
      <c r="S39" s="123" t="s">
        <v>492</v>
      </c>
    </row>
    <row r="40" spans="1:19" x14ac:dyDescent="0.3">
      <c r="A40" s="2" t="s">
        <v>3</v>
      </c>
      <c r="B40" s="2" t="s">
        <v>25</v>
      </c>
      <c r="C40" s="145">
        <v>228</v>
      </c>
      <c r="D40" s="95">
        <f>R40+S40</f>
        <v>181.85855509999999</v>
      </c>
      <c r="E40" s="142">
        <f t="shared" si="9"/>
        <v>20.237475833333338</v>
      </c>
      <c r="F40" s="111">
        <f>D40/0.7</f>
        <v>259.79793585714287</v>
      </c>
      <c r="G40" s="115">
        <f>D40/0.75</f>
        <v>242.47807346666664</v>
      </c>
      <c r="H40" s="107">
        <f>D40/0.8</f>
        <v>227.32319387499999</v>
      </c>
      <c r="I40" s="103">
        <f>D40/0.85</f>
        <v>213.95124129411764</v>
      </c>
      <c r="J40" s="99">
        <f>D40/0.9</f>
        <v>202.0650612222222</v>
      </c>
      <c r="K40" s="88">
        <v>0</v>
      </c>
      <c r="L40" s="88">
        <f>K40*0.08375</f>
        <v>0</v>
      </c>
      <c r="M40" s="90">
        <f>K40+L40</f>
        <v>0</v>
      </c>
      <c r="N40" s="90">
        <v>0</v>
      </c>
      <c r="O40" s="51">
        <v>1</v>
      </c>
      <c r="P40" s="93">
        <f>P2</f>
        <v>175.70874888888889</v>
      </c>
      <c r="Q40" s="93">
        <f>(O40*P40)+N40</f>
        <v>175.70874888888889</v>
      </c>
      <c r="R40" s="120">
        <f>M40+Q40</f>
        <v>175.70874888888889</v>
      </c>
      <c r="S40" s="124">
        <f>R40*0.035</f>
        <v>6.1498062111111116</v>
      </c>
    </row>
    <row r="41" spans="1:19" x14ac:dyDescent="0.3">
      <c r="A41" s="2" t="s">
        <v>3</v>
      </c>
      <c r="B41" s="2" t="s">
        <v>46</v>
      </c>
      <c r="C41" s="145">
        <v>368</v>
      </c>
      <c r="D41" s="95">
        <f>R41+S41</f>
        <v>265.98464884999999</v>
      </c>
      <c r="E41" s="142">
        <f t="shared" si="9"/>
        <v>27.721562812500007</v>
      </c>
      <c r="F41" s="111">
        <f>D41/0.7</f>
        <v>379.9780697857143</v>
      </c>
      <c r="G41" s="115">
        <f>D41/0.75</f>
        <v>354.64619846666665</v>
      </c>
      <c r="H41" s="107">
        <f>D41/0.8</f>
        <v>332.48081106249998</v>
      </c>
      <c r="I41" s="103">
        <f>D41/0.85</f>
        <v>312.92311629411762</v>
      </c>
      <c r="J41" s="99">
        <f>D41/0.9</f>
        <v>295.53849872222219</v>
      </c>
      <c r="K41" s="88">
        <f>'Part Pricing'!B35</f>
        <v>75</v>
      </c>
      <c r="L41" s="88">
        <f>K41*0.08375</f>
        <v>6.28125</v>
      </c>
      <c r="M41" s="90">
        <f>K41+L41</f>
        <v>81.28125</v>
      </c>
      <c r="N41" s="90">
        <v>0</v>
      </c>
      <c r="O41" s="51">
        <v>1</v>
      </c>
      <c r="P41" s="93">
        <f>P3</f>
        <v>175.70874888888889</v>
      </c>
      <c r="Q41" s="93">
        <f>(O41*P41)+N41</f>
        <v>175.70874888888889</v>
      </c>
      <c r="R41" s="120">
        <f>M41+Q41</f>
        <v>256.98999888888886</v>
      </c>
      <c r="S41" s="124">
        <f>R41*0.035</f>
        <v>8.9946499611111115</v>
      </c>
    </row>
    <row r="42" spans="1:19" x14ac:dyDescent="0.3">
      <c r="A42" s="2" t="s">
        <v>3</v>
      </c>
      <c r="B42" s="2" t="s">
        <v>4</v>
      </c>
      <c r="C42" s="145">
        <v>448</v>
      </c>
      <c r="D42" s="95">
        <f>R42+S42</f>
        <v>270.448940225</v>
      </c>
      <c r="E42" s="142">
        <f t="shared" si="9"/>
        <v>39.631932985491069</v>
      </c>
      <c r="F42" s="111">
        <f>D42/0.7</f>
        <v>386.35562889285717</v>
      </c>
      <c r="G42" s="115">
        <f>D42/0.75</f>
        <v>360.59858696666669</v>
      </c>
      <c r="H42" s="107">
        <f>D42/0.8</f>
        <v>338.06117528124997</v>
      </c>
      <c r="I42" s="103">
        <f>D42/0.85</f>
        <v>318.17522379411764</v>
      </c>
      <c r="J42" s="99">
        <f>D42/0.9</f>
        <v>300.49882247222223</v>
      </c>
      <c r="K42" s="88">
        <f>'Part Pricing'!B36</f>
        <v>78.98</v>
      </c>
      <c r="L42" s="88">
        <f>K42*0.08375</f>
        <v>6.6145750000000003</v>
      </c>
      <c r="M42" s="90">
        <f>K42+L42</f>
        <v>85.594575000000006</v>
      </c>
      <c r="N42" s="90">
        <v>0</v>
      </c>
      <c r="O42" s="51">
        <v>1</v>
      </c>
      <c r="P42" s="93">
        <f>P4</f>
        <v>175.70874888888889</v>
      </c>
      <c r="Q42" s="93">
        <f>(O42*P42)+N42</f>
        <v>175.70874888888889</v>
      </c>
      <c r="R42" s="120">
        <f>M42+Q42</f>
        <v>261.30332388888888</v>
      </c>
      <c r="S42" s="124">
        <f>R42*0.035</f>
        <v>9.1456163361111109</v>
      </c>
    </row>
    <row r="43" spans="1:19" x14ac:dyDescent="0.3">
      <c r="A43" s="2" t="s">
        <v>3</v>
      </c>
      <c r="B43" s="2" t="s">
        <v>5</v>
      </c>
      <c r="C43" s="145">
        <v>558</v>
      </c>
      <c r="D43" s="95">
        <f>R43+S43</f>
        <v>364.83841741250001</v>
      </c>
      <c r="E43" s="142">
        <f t="shared" si="9"/>
        <v>34.616771073028673</v>
      </c>
      <c r="F43" s="111">
        <f>D43/0.7</f>
        <v>521.19773916071438</v>
      </c>
      <c r="G43" s="115">
        <f>D43/0.75</f>
        <v>486.45122321666668</v>
      </c>
      <c r="H43" s="107">
        <f>D43/0.8</f>
        <v>456.04802176562498</v>
      </c>
      <c r="I43" s="103">
        <f>D43/0.85</f>
        <v>429.22166754411768</v>
      </c>
      <c r="J43" s="99">
        <f>D43/0.9</f>
        <v>405.37601934722221</v>
      </c>
      <c r="K43" s="88">
        <f>'Part Pricing'!B37</f>
        <v>163.13</v>
      </c>
      <c r="L43" s="88">
        <f>K43*0.08375</f>
        <v>13.6621375</v>
      </c>
      <c r="M43" s="90">
        <f>K43+L43</f>
        <v>176.7921375</v>
      </c>
      <c r="N43" s="90">
        <v>0</v>
      </c>
      <c r="O43" s="51">
        <v>1</v>
      </c>
      <c r="P43" s="93">
        <f>P5</f>
        <v>175.70874888888889</v>
      </c>
      <c r="Q43" s="93">
        <f>(O43*P43)+N43</f>
        <v>175.70874888888889</v>
      </c>
      <c r="R43" s="120">
        <f>M43+Q43</f>
        <v>352.50088638888889</v>
      </c>
      <c r="S43" s="124">
        <f>R43*0.035</f>
        <v>12.337531023611112</v>
      </c>
    </row>
    <row r="44" spans="1:19" x14ac:dyDescent="0.3">
      <c r="A44" s="4" t="s">
        <v>149</v>
      </c>
      <c r="B44" s="4"/>
      <c r="C44" s="146"/>
      <c r="D44" s="95" t="s">
        <v>147</v>
      </c>
      <c r="E44" s="142"/>
      <c r="F44" s="111" t="s">
        <v>459</v>
      </c>
      <c r="G44" s="115" t="s">
        <v>490</v>
      </c>
      <c r="H44" s="107" t="s">
        <v>489</v>
      </c>
      <c r="I44" s="103" t="s">
        <v>491</v>
      </c>
      <c r="J44" s="99" t="s">
        <v>488</v>
      </c>
      <c r="K44" s="88" t="s">
        <v>457</v>
      </c>
      <c r="L44" s="88" t="s">
        <v>454</v>
      </c>
      <c r="M44" s="90" t="s">
        <v>456</v>
      </c>
      <c r="N44" s="90" t="s">
        <v>148</v>
      </c>
      <c r="O44" s="51" t="s">
        <v>146</v>
      </c>
      <c r="P44" s="51" t="s">
        <v>453</v>
      </c>
      <c r="Q44" s="51" t="s">
        <v>458</v>
      </c>
      <c r="R44" s="119" t="s">
        <v>472</v>
      </c>
      <c r="S44" s="123" t="s">
        <v>492</v>
      </c>
    </row>
    <row r="45" spans="1:19" x14ac:dyDescent="0.3">
      <c r="A45" s="2" t="s">
        <v>31</v>
      </c>
      <c r="B45" s="2" t="s">
        <v>59</v>
      </c>
      <c r="C45" s="145"/>
      <c r="D45" s="95">
        <f t="shared" ref="D45:D78" si="26">R45+S45</f>
        <v>1044.5273403125</v>
      </c>
      <c r="E45" s="142"/>
      <c r="F45" s="111">
        <f t="shared" ref="F45:F78" si="27">D45/0.7</f>
        <v>1492.181914732143</v>
      </c>
      <c r="G45" s="115">
        <f t="shared" ref="G45:G78" si="28">D45/0.75</f>
        <v>1392.7031204166667</v>
      </c>
      <c r="H45" s="107">
        <f t="shared" ref="H45:H78" si="29">D45/0.8</f>
        <v>1305.6591753906248</v>
      </c>
      <c r="I45" s="103">
        <f t="shared" ref="I45:I78" si="30">D45/0.85</f>
        <v>1228.8556944852942</v>
      </c>
      <c r="J45" s="99">
        <f t="shared" ref="J45:J78" si="31">D45/0.9</f>
        <v>1160.5859336805554</v>
      </c>
      <c r="K45" s="88">
        <f>'Part Combo'!G125</f>
        <v>525.89</v>
      </c>
      <c r="L45" s="88">
        <f t="shared" ref="L45:L78" si="32">K45*0.08375</f>
        <v>44.043287499999998</v>
      </c>
      <c r="M45" s="90">
        <f t="shared" ref="M45:M78" si="33">K45+L45</f>
        <v>569.93328750000001</v>
      </c>
      <c r="N45" s="90">
        <v>0</v>
      </c>
      <c r="O45" s="51">
        <v>2.5</v>
      </c>
      <c r="P45" s="93">
        <f t="shared" ref="P45:P54" si="34">P2</f>
        <v>175.70874888888889</v>
      </c>
      <c r="Q45" s="93">
        <f>(O45*P45)+N45</f>
        <v>439.27187222222221</v>
      </c>
      <c r="R45" s="120">
        <f t="shared" ref="R45:R78" si="35">M45+Q45</f>
        <v>1009.2051597222222</v>
      </c>
      <c r="S45" s="124">
        <f>R45*0.035</f>
        <v>35.322180590277782</v>
      </c>
    </row>
    <row r="46" spans="1:19" x14ac:dyDescent="0.3">
      <c r="A46" s="2" t="s">
        <v>31</v>
      </c>
      <c r="B46" s="2" t="s">
        <v>60</v>
      </c>
      <c r="C46" s="145">
        <v>1368</v>
      </c>
      <c r="D46" s="95">
        <f t="shared" si="26"/>
        <v>1092.0950379218748</v>
      </c>
      <c r="E46" s="142">
        <f t="shared" si="9"/>
        <v>20.168491379979912</v>
      </c>
      <c r="F46" s="111">
        <f t="shared" si="27"/>
        <v>1560.1357684598213</v>
      </c>
      <c r="G46" s="115">
        <f t="shared" si="28"/>
        <v>1456.1267172291664</v>
      </c>
      <c r="H46" s="107">
        <f t="shared" si="29"/>
        <v>1365.1187974023435</v>
      </c>
      <c r="I46" s="103">
        <f t="shared" si="30"/>
        <v>1284.8176916727939</v>
      </c>
      <c r="J46" s="99">
        <f t="shared" si="31"/>
        <v>1213.4389310243052</v>
      </c>
      <c r="K46" s="88">
        <f>'Part Combo'!F125</f>
        <v>568.29750000000001</v>
      </c>
      <c r="L46" s="88">
        <f t="shared" si="32"/>
        <v>47.594915625000006</v>
      </c>
      <c r="M46" s="90">
        <f t="shared" si="33"/>
        <v>615.89241562500001</v>
      </c>
      <c r="N46" s="90">
        <v>0</v>
      </c>
      <c r="O46" s="51">
        <v>2.5</v>
      </c>
      <c r="P46" s="93">
        <f t="shared" si="34"/>
        <v>175.70874888888889</v>
      </c>
      <c r="Q46" s="93">
        <f t="shared" ref="Q46:Q78" si="36">(O46*P46)+N46</f>
        <v>439.27187222222221</v>
      </c>
      <c r="R46" s="120">
        <f t="shared" si="35"/>
        <v>1055.1642878472221</v>
      </c>
      <c r="S46" s="124">
        <f t="shared" ref="S46:S78" si="37">R46*0.035</f>
        <v>36.930750074652778</v>
      </c>
    </row>
    <row r="47" spans="1:19" x14ac:dyDescent="0.3">
      <c r="A47" s="2" t="s">
        <v>31</v>
      </c>
      <c r="B47" s="2" t="s">
        <v>61</v>
      </c>
      <c r="C47" s="145">
        <v>1508</v>
      </c>
      <c r="D47" s="95">
        <f t="shared" si="26"/>
        <v>1132.7335496093749</v>
      </c>
      <c r="E47" s="142">
        <f t="shared" si="9"/>
        <v>24.885043129351796</v>
      </c>
      <c r="F47" s="111">
        <f t="shared" si="27"/>
        <v>1618.1907851562501</v>
      </c>
      <c r="G47" s="115">
        <f t="shared" si="28"/>
        <v>1510.3113994791665</v>
      </c>
      <c r="H47" s="107">
        <f t="shared" si="29"/>
        <v>1415.9169370117186</v>
      </c>
      <c r="I47" s="103">
        <f t="shared" si="30"/>
        <v>1332.627705422794</v>
      </c>
      <c r="J47" s="99">
        <f t="shared" si="31"/>
        <v>1258.5928328993054</v>
      </c>
      <c r="K47" s="88">
        <f>'Part Combo'!E125</f>
        <v>604.52750000000003</v>
      </c>
      <c r="L47" s="88">
        <f t="shared" si="32"/>
        <v>50.629178125000003</v>
      </c>
      <c r="M47" s="90">
        <f t="shared" si="33"/>
        <v>655.15667812499998</v>
      </c>
      <c r="N47" s="90">
        <v>0</v>
      </c>
      <c r="O47" s="51">
        <v>2.5</v>
      </c>
      <c r="P47" s="93">
        <f t="shared" si="34"/>
        <v>175.70874888888889</v>
      </c>
      <c r="Q47" s="93">
        <f t="shared" si="36"/>
        <v>439.27187222222221</v>
      </c>
      <c r="R47" s="120">
        <f t="shared" si="35"/>
        <v>1094.4285503472222</v>
      </c>
      <c r="S47" s="124">
        <f t="shared" si="37"/>
        <v>38.304999262152784</v>
      </c>
    </row>
    <row r="48" spans="1:19" x14ac:dyDescent="0.3">
      <c r="A48" s="2" t="s">
        <v>31</v>
      </c>
      <c r="B48" s="2" t="s">
        <v>62</v>
      </c>
      <c r="C48" s="145">
        <v>2098</v>
      </c>
      <c r="D48" s="95">
        <f t="shared" si="26"/>
        <v>1132.7335496093749</v>
      </c>
      <c r="E48" s="142">
        <f t="shared" si="9"/>
        <v>46.008887053890611</v>
      </c>
      <c r="F48" s="111">
        <f t="shared" si="27"/>
        <v>1618.1907851562501</v>
      </c>
      <c r="G48" s="115">
        <f t="shared" si="28"/>
        <v>1510.3113994791665</v>
      </c>
      <c r="H48" s="107">
        <f t="shared" si="29"/>
        <v>1415.9169370117186</v>
      </c>
      <c r="I48" s="103">
        <f t="shared" si="30"/>
        <v>1332.627705422794</v>
      </c>
      <c r="J48" s="99">
        <f t="shared" si="31"/>
        <v>1258.5928328993054</v>
      </c>
      <c r="K48" s="88">
        <f>'Part Combo'!E125</f>
        <v>604.52750000000003</v>
      </c>
      <c r="L48" s="88">
        <f t="shared" si="32"/>
        <v>50.629178125000003</v>
      </c>
      <c r="M48" s="90">
        <f t="shared" si="33"/>
        <v>655.15667812499998</v>
      </c>
      <c r="N48" s="90">
        <v>0</v>
      </c>
      <c r="O48" s="51">
        <v>2.5</v>
      </c>
      <c r="P48" s="93">
        <f t="shared" si="34"/>
        <v>175.70874888888889</v>
      </c>
      <c r="Q48" s="93">
        <f t="shared" si="36"/>
        <v>439.27187222222221</v>
      </c>
      <c r="R48" s="120">
        <f t="shared" si="35"/>
        <v>1094.4285503472222</v>
      </c>
      <c r="S48" s="124">
        <f t="shared" si="37"/>
        <v>38.304999262152784</v>
      </c>
    </row>
    <row r="49" spans="1:19" x14ac:dyDescent="0.3">
      <c r="A49" s="2" t="s">
        <v>31</v>
      </c>
      <c r="B49" s="2" t="s">
        <v>72</v>
      </c>
      <c r="C49" s="145">
        <v>618</v>
      </c>
      <c r="D49" s="95">
        <f t="shared" si="26"/>
        <v>454.64638774999997</v>
      </c>
      <c r="E49" s="142">
        <f t="shared" si="9"/>
        <v>26.432623341423948</v>
      </c>
      <c r="F49" s="111">
        <f t="shared" si="27"/>
        <v>649.49483964285719</v>
      </c>
      <c r="G49" s="115">
        <f t="shared" si="28"/>
        <v>606.19518366666659</v>
      </c>
      <c r="H49" s="107">
        <f t="shared" si="29"/>
        <v>568.30798468749992</v>
      </c>
      <c r="I49" s="103">
        <f t="shared" si="30"/>
        <v>534.87810323529413</v>
      </c>
      <c r="J49" s="99">
        <f t="shared" si="31"/>
        <v>505.1626530555555</v>
      </c>
      <c r="K49" s="88">
        <v>0</v>
      </c>
      <c r="L49" s="88">
        <f t="shared" si="32"/>
        <v>0</v>
      </c>
      <c r="M49" s="90">
        <f t="shared" si="33"/>
        <v>0</v>
      </c>
      <c r="N49" s="90">
        <v>0</v>
      </c>
      <c r="O49" s="51">
        <v>2.5</v>
      </c>
      <c r="P49" s="93">
        <f t="shared" si="34"/>
        <v>175.70874888888889</v>
      </c>
      <c r="Q49" s="93">
        <f t="shared" si="36"/>
        <v>439.27187222222221</v>
      </c>
      <c r="R49" s="120">
        <f t="shared" si="35"/>
        <v>439.27187222222221</v>
      </c>
      <c r="S49" s="124">
        <f t="shared" si="37"/>
        <v>15.374515527777779</v>
      </c>
    </row>
    <row r="50" spans="1:19" x14ac:dyDescent="0.3">
      <c r="A50" s="2" t="s">
        <v>31</v>
      </c>
      <c r="B50" s="2" t="s">
        <v>75</v>
      </c>
      <c r="C50" s="145">
        <v>868</v>
      </c>
      <c r="D50" s="95">
        <f t="shared" si="26"/>
        <v>655.02072204687499</v>
      </c>
      <c r="E50" s="142">
        <f t="shared" si="9"/>
        <v>24.536783174323158</v>
      </c>
      <c r="F50" s="111">
        <f t="shared" si="27"/>
        <v>935.74388863839295</v>
      </c>
      <c r="G50" s="115">
        <f t="shared" si="28"/>
        <v>873.36096272916666</v>
      </c>
      <c r="H50" s="107">
        <f t="shared" si="29"/>
        <v>818.77590255859366</v>
      </c>
      <c r="I50" s="103">
        <f t="shared" si="30"/>
        <v>770.61261417279411</v>
      </c>
      <c r="J50" s="99">
        <f t="shared" si="31"/>
        <v>727.80080227430551</v>
      </c>
      <c r="K50" s="88">
        <f>'Part Combo'!H125</f>
        <v>178.63749999999999</v>
      </c>
      <c r="L50" s="88">
        <f t="shared" si="32"/>
        <v>14.960890624999999</v>
      </c>
      <c r="M50" s="90">
        <f t="shared" si="33"/>
        <v>193.59839062499998</v>
      </c>
      <c r="N50" s="90">
        <v>0</v>
      </c>
      <c r="O50" s="51">
        <v>2.5</v>
      </c>
      <c r="P50" s="93">
        <f t="shared" si="34"/>
        <v>175.70874888888889</v>
      </c>
      <c r="Q50" s="93">
        <f t="shared" si="36"/>
        <v>439.27187222222221</v>
      </c>
      <c r="R50" s="120">
        <f t="shared" si="35"/>
        <v>632.87026284722219</v>
      </c>
      <c r="S50" s="124">
        <f t="shared" si="37"/>
        <v>22.150459199652779</v>
      </c>
    </row>
    <row r="51" spans="1:19" x14ac:dyDescent="0.3">
      <c r="A51" s="2" t="s">
        <v>31</v>
      </c>
      <c r="B51" s="2" t="s">
        <v>78</v>
      </c>
      <c r="C51" s="145">
        <v>798</v>
      </c>
      <c r="D51" s="95">
        <f t="shared" si="26"/>
        <v>566.81451274999995</v>
      </c>
      <c r="E51" s="142">
        <f t="shared" si="9"/>
        <v>28.970612437343362</v>
      </c>
      <c r="F51" s="111">
        <f t="shared" si="27"/>
        <v>809.73501821428567</v>
      </c>
      <c r="G51" s="115">
        <f t="shared" si="28"/>
        <v>755.7526836666666</v>
      </c>
      <c r="H51" s="107">
        <f t="shared" si="29"/>
        <v>708.51814093749988</v>
      </c>
      <c r="I51" s="103">
        <f t="shared" si="30"/>
        <v>666.84060323529411</v>
      </c>
      <c r="J51" s="99">
        <f t="shared" si="31"/>
        <v>629.79390305555546</v>
      </c>
      <c r="K51" s="88">
        <f>'Part Pricing'!B173</f>
        <v>100</v>
      </c>
      <c r="L51" s="88">
        <f t="shared" si="32"/>
        <v>8.375</v>
      </c>
      <c r="M51" s="90">
        <f t="shared" si="33"/>
        <v>108.375</v>
      </c>
      <c r="N51" s="90">
        <v>0</v>
      </c>
      <c r="O51" s="51">
        <v>2.5</v>
      </c>
      <c r="P51" s="93">
        <f t="shared" si="34"/>
        <v>175.70874888888889</v>
      </c>
      <c r="Q51" s="93">
        <f t="shared" si="36"/>
        <v>439.27187222222221</v>
      </c>
      <c r="R51" s="120">
        <f t="shared" si="35"/>
        <v>547.64687222222221</v>
      </c>
      <c r="S51" s="124">
        <f t="shared" si="37"/>
        <v>19.167640527777781</v>
      </c>
    </row>
    <row r="52" spans="1:19" x14ac:dyDescent="0.3">
      <c r="A52" s="2" t="s">
        <v>31</v>
      </c>
      <c r="B52" s="2" t="s">
        <v>32</v>
      </c>
      <c r="C52" s="145">
        <v>2648</v>
      </c>
      <c r="D52" s="95">
        <f t="shared" si="26"/>
        <v>1979.9564099718752</v>
      </c>
      <c r="E52" s="142">
        <f t="shared" si="9"/>
        <v>25.228232251817399</v>
      </c>
      <c r="F52" s="111">
        <f t="shared" si="27"/>
        <v>2828.5091571026792</v>
      </c>
      <c r="G52" s="115">
        <f t="shared" si="28"/>
        <v>2639.9418799625005</v>
      </c>
      <c r="H52" s="107">
        <f t="shared" si="29"/>
        <v>2474.9455124648439</v>
      </c>
      <c r="I52" s="103">
        <f t="shared" si="30"/>
        <v>2329.3604823198534</v>
      </c>
      <c r="J52" s="99">
        <f t="shared" si="31"/>
        <v>2199.9515666354168</v>
      </c>
      <c r="K52" s="88">
        <f>'Part Combo'!J125</f>
        <v>1278.7775000000001</v>
      </c>
      <c r="L52" s="88">
        <f t="shared" si="32"/>
        <v>107.09761562500002</v>
      </c>
      <c r="M52" s="90">
        <f t="shared" si="33"/>
        <v>1385.8751156250003</v>
      </c>
      <c r="N52" s="90">
        <v>0</v>
      </c>
      <c r="O52" s="51">
        <v>3</v>
      </c>
      <c r="P52" s="93">
        <f t="shared" si="34"/>
        <v>175.70874888888889</v>
      </c>
      <c r="Q52" s="93">
        <f t="shared" si="36"/>
        <v>527.1262466666667</v>
      </c>
      <c r="R52" s="120">
        <f t="shared" si="35"/>
        <v>1913.001362291667</v>
      </c>
      <c r="S52" s="124">
        <f t="shared" si="37"/>
        <v>66.955047680208352</v>
      </c>
    </row>
    <row r="53" spans="1:19" x14ac:dyDescent="0.3">
      <c r="A53" s="2" t="s">
        <v>63</v>
      </c>
      <c r="B53" s="2" t="s">
        <v>64</v>
      </c>
      <c r="C53" s="145"/>
      <c r="D53" s="95">
        <f t="shared" si="26"/>
        <v>1088.7664488125001</v>
      </c>
      <c r="E53" s="142"/>
      <c r="F53" s="111">
        <f t="shared" si="27"/>
        <v>1555.3806411607145</v>
      </c>
      <c r="G53" s="115">
        <f t="shared" si="28"/>
        <v>1451.6885984166668</v>
      </c>
      <c r="H53" s="107">
        <f t="shared" si="29"/>
        <v>1360.9580610156252</v>
      </c>
      <c r="I53" s="103">
        <f t="shared" si="30"/>
        <v>1280.9017044852942</v>
      </c>
      <c r="J53" s="99">
        <f t="shared" si="31"/>
        <v>1209.7404986805557</v>
      </c>
      <c r="K53" s="88">
        <f>'Part Combo'!G139</f>
        <v>565.32999999999993</v>
      </c>
      <c r="L53" s="88">
        <f t="shared" si="32"/>
        <v>47.346387499999999</v>
      </c>
      <c r="M53" s="90">
        <f t="shared" si="33"/>
        <v>612.67638749999992</v>
      </c>
      <c r="N53" s="90">
        <v>0</v>
      </c>
      <c r="O53" s="51">
        <v>2.5</v>
      </c>
      <c r="P53" s="93">
        <f t="shared" si="34"/>
        <v>175.70874888888889</v>
      </c>
      <c r="Q53" s="93">
        <f t="shared" si="36"/>
        <v>439.27187222222221</v>
      </c>
      <c r="R53" s="120">
        <f t="shared" si="35"/>
        <v>1051.9482597222222</v>
      </c>
      <c r="S53" s="124">
        <f t="shared" si="37"/>
        <v>36.818189090277784</v>
      </c>
    </row>
    <row r="54" spans="1:19" x14ac:dyDescent="0.3">
      <c r="A54" s="2" t="s">
        <v>63</v>
      </c>
      <c r="B54" s="2" t="s">
        <v>65</v>
      </c>
      <c r="C54" s="145">
        <v>1498</v>
      </c>
      <c r="D54" s="95">
        <f t="shared" si="26"/>
        <v>1130.7689249</v>
      </c>
      <c r="E54" s="142">
        <f t="shared" si="9"/>
        <v>24.514758017356474</v>
      </c>
      <c r="F54" s="111">
        <f t="shared" si="27"/>
        <v>1615.3841784285714</v>
      </c>
      <c r="G54" s="115">
        <f t="shared" si="28"/>
        <v>1507.6918998666667</v>
      </c>
      <c r="H54" s="107">
        <f t="shared" si="29"/>
        <v>1413.4611561249999</v>
      </c>
      <c r="I54" s="103">
        <f t="shared" si="30"/>
        <v>1330.3163822352942</v>
      </c>
      <c r="J54" s="99">
        <f t="shared" si="31"/>
        <v>1256.4099165555556</v>
      </c>
      <c r="K54" s="88">
        <f>'Part Combo'!F139</f>
        <v>602.77599999999995</v>
      </c>
      <c r="L54" s="88">
        <f t="shared" si="32"/>
        <v>50.482489999999999</v>
      </c>
      <c r="M54" s="90">
        <f t="shared" si="33"/>
        <v>653.25848999999994</v>
      </c>
      <c r="N54" s="90">
        <v>0</v>
      </c>
      <c r="O54" s="51">
        <v>2.5</v>
      </c>
      <c r="P54" s="93">
        <f t="shared" si="34"/>
        <v>175.70874888888889</v>
      </c>
      <c r="Q54" s="93">
        <f t="shared" si="36"/>
        <v>439.27187222222221</v>
      </c>
      <c r="R54" s="120">
        <f t="shared" si="35"/>
        <v>1092.5303622222223</v>
      </c>
      <c r="S54" s="124">
        <f t="shared" si="37"/>
        <v>38.238562677777786</v>
      </c>
    </row>
    <row r="55" spans="1:19" x14ac:dyDescent="0.3">
      <c r="A55" s="2" t="s">
        <v>63</v>
      </c>
      <c r="B55" s="2" t="s">
        <v>66</v>
      </c>
      <c r="C55" s="145">
        <v>1588</v>
      </c>
      <c r="D55" s="95">
        <f t="shared" si="26"/>
        <v>1171.4074365874999</v>
      </c>
      <c r="E55" s="142">
        <f t="shared" si="9"/>
        <v>26.233788627991188</v>
      </c>
      <c r="F55" s="111">
        <f t="shared" si="27"/>
        <v>1673.439195125</v>
      </c>
      <c r="G55" s="115">
        <f t="shared" si="28"/>
        <v>1561.8765821166664</v>
      </c>
      <c r="H55" s="107">
        <f t="shared" si="29"/>
        <v>1464.2592957343747</v>
      </c>
      <c r="I55" s="103">
        <f t="shared" si="30"/>
        <v>1378.126395985294</v>
      </c>
      <c r="J55" s="99">
        <f t="shared" si="31"/>
        <v>1301.5638184305553</v>
      </c>
      <c r="K55" s="88">
        <f>'Part Combo'!E139</f>
        <v>639.00599999999997</v>
      </c>
      <c r="L55" s="88">
        <f t="shared" si="32"/>
        <v>53.516752500000003</v>
      </c>
      <c r="M55" s="90">
        <f t="shared" si="33"/>
        <v>692.52275250000002</v>
      </c>
      <c r="N55" s="90">
        <v>0</v>
      </c>
      <c r="O55" s="51">
        <v>2.5</v>
      </c>
      <c r="P55" s="93">
        <f>P13</f>
        <v>175.70874888888889</v>
      </c>
      <c r="Q55" s="93">
        <f t="shared" si="36"/>
        <v>439.27187222222221</v>
      </c>
      <c r="R55" s="120">
        <f t="shared" si="35"/>
        <v>1131.7946247222221</v>
      </c>
      <c r="S55" s="124">
        <f t="shared" si="37"/>
        <v>39.612811865277777</v>
      </c>
    </row>
    <row r="56" spans="1:19" x14ac:dyDescent="0.3">
      <c r="A56" s="2" t="s">
        <v>63</v>
      </c>
      <c r="B56" s="2" t="s">
        <v>67</v>
      </c>
      <c r="C56" s="145">
        <v>2328</v>
      </c>
      <c r="D56" s="95">
        <f t="shared" si="26"/>
        <v>1171.4074365874999</v>
      </c>
      <c r="E56" s="142">
        <f t="shared" si="9"/>
        <v>49.681811143148629</v>
      </c>
      <c r="F56" s="111">
        <f t="shared" si="27"/>
        <v>1673.439195125</v>
      </c>
      <c r="G56" s="115">
        <f t="shared" si="28"/>
        <v>1561.8765821166664</v>
      </c>
      <c r="H56" s="107">
        <f t="shared" si="29"/>
        <v>1464.2592957343747</v>
      </c>
      <c r="I56" s="103">
        <f t="shared" si="30"/>
        <v>1378.126395985294</v>
      </c>
      <c r="J56" s="99">
        <f t="shared" si="31"/>
        <v>1301.5638184305553</v>
      </c>
      <c r="K56" s="88">
        <f>'Part Combo'!D139</f>
        <v>639.00599999999997</v>
      </c>
      <c r="L56" s="88">
        <f t="shared" si="32"/>
        <v>53.516752500000003</v>
      </c>
      <c r="M56" s="90">
        <f t="shared" si="33"/>
        <v>692.52275250000002</v>
      </c>
      <c r="N56" s="90">
        <v>0</v>
      </c>
      <c r="O56" s="51">
        <v>2.5</v>
      </c>
      <c r="P56" s="93">
        <f>P14</f>
        <v>175.70874888888889</v>
      </c>
      <c r="Q56" s="93">
        <f t="shared" si="36"/>
        <v>439.27187222222221</v>
      </c>
      <c r="R56" s="120">
        <f t="shared" si="35"/>
        <v>1131.7946247222221</v>
      </c>
      <c r="S56" s="124">
        <f t="shared" si="37"/>
        <v>39.612811865277777</v>
      </c>
    </row>
    <row r="57" spans="1:19" x14ac:dyDescent="0.3">
      <c r="A57" s="2" t="s">
        <v>63</v>
      </c>
      <c r="B57" s="2" t="s">
        <v>73</v>
      </c>
      <c r="C57" s="145">
        <v>728</v>
      </c>
      <c r="D57" s="95">
        <f t="shared" si="26"/>
        <v>454.64638774999997</v>
      </c>
      <c r="E57" s="142">
        <f t="shared" si="9"/>
        <v>37.548573111263735</v>
      </c>
      <c r="F57" s="111">
        <f t="shared" si="27"/>
        <v>649.49483964285719</v>
      </c>
      <c r="G57" s="115">
        <f t="shared" si="28"/>
        <v>606.19518366666659</v>
      </c>
      <c r="H57" s="107">
        <f t="shared" si="29"/>
        <v>568.30798468749992</v>
      </c>
      <c r="I57" s="103">
        <f t="shared" si="30"/>
        <v>534.87810323529413</v>
      </c>
      <c r="J57" s="99">
        <f t="shared" si="31"/>
        <v>505.1626530555555</v>
      </c>
      <c r="K57" s="88">
        <v>0</v>
      </c>
      <c r="L57" s="88">
        <f t="shared" si="32"/>
        <v>0</v>
      </c>
      <c r="M57" s="90">
        <f t="shared" si="33"/>
        <v>0</v>
      </c>
      <c r="N57" s="90">
        <v>0</v>
      </c>
      <c r="O57" s="51">
        <v>2.5</v>
      </c>
      <c r="P57" s="93">
        <f>P40</f>
        <v>175.70874888888889</v>
      </c>
      <c r="Q57" s="93">
        <f t="shared" si="36"/>
        <v>439.27187222222221</v>
      </c>
      <c r="R57" s="120">
        <f t="shared" si="35"/>
        <v>439.27187222222221</v>
      </c>
      <c r="S57" s="124">
        <f t="shared" si="37"/>
        <v>15.374515527777779</v>
      </c>
    </row>
    <row r="58" spans="1:19" x14ac:dyDescent="0.3">
      <c r="A58" s="2" t="s">
        <v>63</v>
      </c>
      <c r="B58" s="2" t="s">
        <v>76</v>
      </c>
      <c r="C58" s="145">
        <v>868</v>
      </c>
      <c r="D58" s="95">
        <f t="shared" si="26"/>
        <v>649.45550052499993</v>
      </c>
      <c r="E58" s="142">
        <f t="shared" si="9"/>
        <v>25.177937727534573</v>
      </c>
      <c r="F58" s="111">
        <f t="shared" si="27"/>
        <v>927.79357217857137</v>
      </c>
      <c r="G58" s="115">
        <f t="shared" si="28"/>
        <v>865.94066736666662</v>
      </c>
      <c r="H58" s="107">
        <f t="shared" si="29"/>
        <v>811.81937565624992</v>
      </c>
      <c r="I58" s="103">
        <f t="shared" si="30"/>
        <v>764.06529473529406</v>
      </c>
      <c r="J58" s="99">
        <f t="shared" si="31"/>
        <v>721.61722280555546</v>
      </c>
      <c r="K58" s="88">
        <f>'Part Combo'!H139</f>
        <v>173.67599999999999</v>
      </c>
      <c r="L58" s="88">
        <f t="shared" si="32"/>
        <v>14.545365</v>
      </c>
      <c r="M58" s="90">
        <f t="shared" si="33"/>
        <v>188.22136499999999</v>
      </c>
      <c r="N58" s="90">
        <v>0</v>
      </c>
      <c r="O58" s="51">
        <v>2.5</v>
      </c>
      <c r="P58" s="93">
        <f>P40</f>
        <v>175.70874888888889</v>
      </c>
      <c r="Q58" s="93">
        <f t="shared" si="36"/>
        <v>439.27187222222221</v>
      </c>
      <c r="R58" s="120">
        <f t="shared" si="35"/>
        <v>627.49323722222221</v>
      </c>
      <c r="S58" s="124">
        <f t="shared" si="37"/>
        <v>21.962263302777778</v>
      </c>
    </row>
    <row r="59" spans="1:19" x14ac:dyDescent="0.3">
      <c r="A59" s="2" t="s">
        <v>63</v>
      </c>
      <c r="B59" s="2" t="s">
        <v>79</v>
      </c>
      <c r="C59" s="145">
        <v>798</v>
      </c>
      <c r="D59" s="95">
        <f t="shared" si="26"/>
        <v>657.7437903</v>
      </c>
      <c r="E59" s="142">
        <f t="shared" si="9"/>
        <v>17.575966127819548</v>
      </c>
      <c r="F59" s="111">
        <f t="shared" si="27"/>
        <v>939.63398614285722</v>
      </c>
      <c r="G59" s="115">
        <f t="shared" si="28"/>
        <v>876.99172039999996</v>
      </c>
      <c r="H59" s="107">
        <f t="shared" si="29"/>
        <v>822.179737875</v>
      </c>
      <c r="I59" s="103">
        <f t="shared" si="30"/>
        <v>773.81622388235292</v>
      </c>
      <c r="J59" s="99">
        <f t="shared" si="31"/>
        <v>730.82643366666662</v>
      </c>
      <c r="K59" s="88">
        <f>'Part Pricing'!B173</f>
        <v>100</v>
      </c>
      <c r="L59" s="88">
        <f t="shared" si="32"/>
        <v>8.375</v>
      </c>
      <c r="M59" s="90">
        <f t="shared" si="33"/>
        <v>108.375</v>
      </c>
      <c r="N59" s="90">
        <v>0</v>
      </c>
      <c r="O59" s="51">
        <v>3</v>
      </c>
      <c r="P59" s="93">
        <f>P40</f>
        <v>175.70874888888889</v>
      </c>
      <c r="Q59" s="93">
        <f t="shared" si="36"/>
        <v>527.1262466666667</v>
      </c>
      <c r="R59" s="120">
        <f t="shared" si="35"/>
        <v>635.5012466666667</v>
      </c>
      <c r="S59" s="124">
        <f t="shared" si="37"/>
        <v>22.242543633333337</v>
      </c>
    </row>
    <row r="60" spans="1:19" x14ac:dyDescent="0.3">
      <c r="A60" s="2" t="s">
        <v>63</v>
      </c>
      <c r="B60" s="2" t="s">
        <v>290</v>
      </c>
      <c r="C60" s="145">
        <v>2708</v>
      </c>
      <c r="D60" s="95">
        <f t="shared" si="26"/>
        <v>2086.5705302625001</v>
      </c>
      <c r="E60" s="142">
        <f t="shared" si="9"/>
        <v>22.947912471842681</v>
      </c>
      <c r="F60" s="111">
        <f t="shared" si="27"/>
        <v>2980.8150432321431</v>
      </c>
      <c r="G60" s="115">
        <f t="shared" si="28"/>
        <v>2782.0940403500003</v>
      </c>
      <c r="H60" s="107">
        <f t="shared" si="29"/>
        <v>2608.213162828125</v>
      </c>
      <c r="I60" s="103">
        <f t="shared" si="30"/>
        <v>2454.7888591323531</v>
      </c>
      <c r="J60" s="99">
        <f t="shared" si="31"/>
        <v>2318.4117002916669</v>
      </c>
      <c r="K60" s="88">
        <f>'Part Combo'!J139</f>
        <v>1373.826</v>
      </c>
      <c r="L60" s="88">
        <f t="shared" si="32"/>
        <v>115.05792750000001</v>
      </c>
      <c r="M60" s="90">
        <f t="shared" si="33"/>
        <v>1488.8839275</v>
      </c>
      <c r="N60" s="90">
        <v>0</v>
      </c>
      <c r="O60" s="51">
        <v>3</v>
      </c>
      <c r="P60" s="93">
        <f>P40</f>
        <v>175.70874888888889</v>
      </c>
      <c r="Q60" s="93">
        <f t="shared" si="36"/>
        <v>527.1262466666667</v>
      </c>
      <c r="R60" s="120">
        <f t="shared" si="35"/>
        <v>2016.0101741666667</v>
      </c>
      <c r="S60" s="124">
        <f t="shared" si="37"/>
        <v>70.560356095833342</v>
      </c>
    </row>
    <row r="61" spans="1:19" x14ac:dyDescent="0.3">
      <c r="A61" s="2" t="s">
        <v>56</v>
      </c>
      <c r="B61" s="2" t="s">
        <v>68</v>
      </c>
      <c r="C61" s="145"/>
      <c r="D61" s="95">
        <f t="shared" si="26"/>
        <v>1924.5261008374998</v>
      </c>
      <c r="E61" s="142"/>
      <c r="F61" s="111">
        <f t="shared" si="27"/>
        <v>2749.3230011964283</v>
      </c>
      <c r="G61" s="115">
        <f t="shared" si="28"/>
        <v>2566.0348011166666</v>
      </c>
      <c r="H61" s="107">
        <f t="shared" si="29"/>
        <v>2405.6576260468746</v>
      </c>
      <c r="I61" s="103">
        <f t="shared" si="30"/>
        <v>2264.1483539264705</v>
      </c>
      <c r="J61" s="99">
        <f t="shared" si="31"/>
        <v>2138.3623342638884</v>
      </c>
      <c r="K61" s="88">
        <f>'Part Combo'!G153</f>
        <v>1067.23</v>
      </c>
      <c r="L61" s="88">
        <f t="shared" si="32"/>
        <v>89.380512500000009</v>
      </c>
      <c r="M61" s="90">
        <f t="shared" si="33"/>
        <v>1156.6105124999999</v>
      </c>
      <c r="N61" s="90">
        <v>0</v>
      </c>
      <c r="O61" s="51">
        <v>4</v>
      </c>
      <c r="P61" s="93">
        <f>P40</f>
        <v>175.70874888888889</v>
      </c>
      <c r="Q61" s="93">
        <f t="shared" si="36"/>
        <v>702.83499555555557</v>
      </c>
      <c r="R61" s="120">
        <f t="shared" si="35"/>
        <v>1859.4455080555554</v>
      </c>
      <c r="S61" s="124">
        <f t="shared" si="37"/>
        <v>65.080592781944446</v>
      </c>
    </row>
    <row r="62" spans="1:19" x14ac:dyDescent="0.3">
      <c r="A62" s="2" t="s">
        <v>56</v>
      </c>
      <c r="B62" s="2" t="s">
        <v>69</v>
      </c>
      <c r="C62" s="145">
        <v>2428</v>
      </c>
      <c r="D62" s="95">
        <f t="shared" si="26"/>
        <v>1972.8116744468748</v>
      </c>
      <c r="E62" s="142">
        <f t="shared" si="9"/>
        <v>18.74745986627369</v>
      </c>
      <c r="F62" s="111">
        <f t="shared" si="27"/>
        <v>2818.3023920669643</v>
      </c>
      <c r="G62" s="115">
        <f t="shared" si="28"/>
        <v>2630.4155659291664</v>
      </c>
      <c r="H62" s="107">
        <f t="shared" si="29"/>
        <v>2466.0145930585932</v>
      </c>
      <c r="I62" s="103">
        <f t="shared" si="30"/>
        <v>2320.9549111139704</v>
      </c>
      <c r="J62" s="99">
        <f t="shared" si="31"/>
        <v>2192.0129716076385</v>
      </c>
      <c r="K62" s="88">
        <f>'Part Combo'!F153</f>
        <v>1110.2774999999999</v>
      </c>
      <c r="L62" s="88">
        <f t="shared" si="32"/>
        <v>92.985740625000005</v>
      </c>
      <c r="M62" s="90">
        <f t="shared" si="33"/>
        <v>1203.263240625</v>
      </c>
      <c r="N62" s="90">
        <v>0</v>
      </c>
      <c r="O62" s="51">
        <v>4</v>
      </c>
      <c r="P62" s="93">
        <f>P40</f>
        <v>175.70874888888889</v>
      </c>
      <c r="Q62" s="93">
        <f t="shared" si="36"/>
        <v>702.83499555555557</v>
      </c>
      <c r="R62" s="120">
        <f t="shared" si="35"/>
        <v>1906.0982361805554</v>
      </c>
      <c r="S62" s="124">
        <f t="shared" si="37"/>
        <v>66.713438266319443</v>
      </c>
    </row>
    <row r="63" spans="1:19" x14ac:dyDescent="0.3">
      <c r="A63" s="2" t="s">
        <v>56</v>
      </c>
      <c r="B63" s="2" t="s">
        <v>70</v>
      </c>
      <c r="C63" s="145">
        <v>2558</v>
      </c>
      <c r="D63" s="95">
        <f t="shared" si="26"/>
        <v>2068.4013505718749</v>
      </c>
      <c r="E63" s="142">
        <f t="shared" si="9"/>
        <v>19.139900290388002</v>
      </c>
      <c r="F63" s="111">
        <f t="shared" si="27"/>
        <v>2954.8590722455356</v>
      </c>
      <c r="G63" s="115">
        <f t="shared" si="28"/>
        <v>2757.8684674291667</v>
      </c>
      <c r="H63" s="107">
        <f t="shared" si="29"/>
        <v>2585.5016882148434</v>
      </c>
      <c r="I63" s="103">
        <f t="shared" si="30"/>
        <v>2433.4133536139707</v>
      </c>
      <c r="J63" s="99">
        <f t="shared" si="31"/>
        <v>2298.2237228576387</v>
      </c>
      <c r="K63" s="88">
        <f>'Part Combo'!E153</f>
        <v>1195.4974999999999</v>
      </c>
      <c r="L63" s="88">
        <f t="shared" si="32"/>
        <v>100.122915625</v>
      </c>
      <c r="M63" s="90">
        <f t="shared" si="33"/>
        <v>1295.6204156249999</v>
      </c>
      <c r="N63" s="90">
        <v>0</v>
      </c>
      <c r="O63" s="51">
        <v>4</v>
      </c>
      <c r="P63" s="93">
        <f>P40</f>
        <v>175.70874888888889</v>
      </c>
      <c r="Q63" s="93">
        <f t="shared" si="36"/>
        <v>702.83499555555557</v>
      </c>
      <c r="R63" s="120">
        <f t="shared" si="35"/>
        <v>1998.4554111805555</v>
      </c>
      <c r="S63" s="124">
        <f t="shared" si="37"/>
        <v>69.945939391319456</v>
      </c>
    </row>
    <row r="64" spans="1:19" x14ac:dyDescent="0.3">
      <c r="A64" s="2" t="s">
        <v>56</v>
      </c>
      <c r="B64" s="2" t="s">
        <v>71</v>
      </c>
      <c r="C64" s="145">
        <v>2998</v>
      </c>
      <c r="D64" s="95">
        <f t="shared" si="26"/>
        <v>2068.4013505718749</v>
      </c>
      <c r="E64" s="142">
        <f t="shared" ref="E64:E127" si="38">(C64-D64)/C64*100</f>
        <v>31.00729317638843</v>
      </c>
      <c r="F64" s="111">
        <f t="shared" si="27"/>
        <v>2954.8590722455356</v>
      </c>
      <c r="G64" s="115">
        <f t="shared" si="28"/>
        <v>2757.8684674291667</v>
      </c>
      <c r="H64" s="107">
        <f t="shared" si="29"/>
        <v>2585.5016882148434</v>
      </c>
      <c r="I64" s="103">
        <f t="shared" si="30"/>
        <v>2433.4133536139707</v>
      </c>
      <c r="J64" s="99">
        <f t="shared" si="31"/>
        <v>2298.2237228576387</v>
      </c>
      <c r="K64" s="88">
        <f>'Part Combo'!E153</f>
        <v>1195.4974999999999</v>
      </c>
      <c r="L64" s="88">
        <f t="shared" si="32"/>
        <v>100.122915625</v>
      </c>
      <c r="M64" s="90">
        <f t="shared" si="33"/>
        <v>1295.6204156249999</v>
      </c>
      <c r="N64" s="90">
        <v>0</v>
      </c>
      <c r="O64" s="51">
        <v>4</v>
      </c>
      <c r="P64" s="93">
        <f>P40</f>
        <v>175.70874888888889</v>
      </c>
      <c r="Q64" s="93">
        <f t="shared" si="36"/>
        <v>702.83499555555557</v>
      </c>
      <c r="R64" s="120">
        <f t="shared" si="35"/>
        <v>1998.4554111805555</v>
      </c>
      <c r="S64" s="124">
        <f t="shared" si="37"/>
        <v>69.945939391319456</v>
      </c>
    </row>
    <row r="65" spans="1:19" x14ac:dyDescent="0.3">
      <c r="A65" s="2" t="s">
        <v>56</v>
      </c>
      <c r="B65" s="2" t="s">
        <v>74</v>
      </c>
      <c r="C65" s="145">
        <v>1068</v>
      </c>
      <c r="D65" s="95">
        <f t="shared" si="26"/>
        <v>727.43422039999996</v>
      </c>
      <c r="E65" s="142">
        <f t="shared" si="38"/>
        <v>31.888181610486892</v>
      </c>
      <c r="F65" s="111">
        <f t="shared" si="27"/>
        <v>1039.1917434285715</v>
      </c>
      <c r="G65" s="115">
        <f t="shared" si="28"/>
        <v>969.91229386666657</v>
      </c>
      <c r="H65" s="107">
        <f t="shared" si="29"/>
        <v>909.29277549999995</v>
      </c>
      <c r="I65" s="103">
        <f t="shared" si="30"/>
        <v>855.80496517647055</v>
      </c>
      <c r="J65" s="99">
        <f t="shared" si="31"/>
        <v>808.26024488888879</v>
      </c>
      <c r="K65" s="88">
        <v>0</v>
      </c>
      <c r="L65" s="88">
        <f t="shared" si="32"/>
        <v>0</v>
      </c>
      <c r="M65" s="90">
        <f t="shared" si="33"/>
        <v>0</v>
      </c>
      <c r="N65" s="90">
        <v>0</v>
      </c>
      <c r="O65" s="51">
        <v>4</v>
      </c>
      <c r="P65" s="93">
        <f>P40</f>
        <v>175.70874888888889</v>
      </c>
      <c r="Q65" s="93">
        <f t="shared" si="36"/>
        <v>702.83499555555557</v>
      </c>
      <c r="R65" s="120">
        <f t="shared" si="35"/>
        <v>702.83499555555557</v>
      </c>
      <c r="S65" s="124">
        <f t="shared" si="37"/>
        <v>24.599224844444446</v>
      </c>
    </row>
    <row r="66" spans="1:19" x14ac:dyDescent="0.3">
      <c r="A66" s="2" t="s">
        <v>56</v>
      </c>
      <c r="B66" s="2" t="s">
        <v>77</v>
      </c>
      <c r="C66" s="145">
        <v>1398</v>
      </c>
      <c r="D66" s="95">
        <f t="shared" si="26"/>
        <v>983.47759513437506</v>
      </c>
      <c r="E66" s="142">
        <f t="shared" si="38"/>
        <v>29.651101921718521</v>
      </c>
      <c r="F66" s="111">
        <f t="shared" si="27"/>
        <v>1404.9679930491072</v>
      </c>
      <c r="G66" s="115">
        <f t="shared" si="28"/>
        <v>1311.3034601791667</v>
      </c>
      <c r="H66" s="107">
        <f t="shared" si="29"/>
        <v>1229.3469939179688</v>
      </c>
      <c r="I66" s="103">
        <f t="shared" si="30"/>
        <v>1157.0324648639707</v>
      </c>
      <c r="J66" s="99">
        <f t="shared" si="31"/>
        <v>1092.7528834826389</v>
      </c>
      <c r="K66" s="88">
        <f>'Part Combo'!H153</f>
        <v>228.26750000000001</v>
      </c>
      <c r="L66" s="88">
        <f t="shared" si="32"/>
        <v>19.117403125000003</v>
      </c>
      <c r="M66" s="90">
        <f t="shared" si="33"/>
        <v>247.38490312500002</v>
      </c>
      <c r="N66" s="90">
        <v>0</v>
      </c>
      <c r="O66" s="51">
        <v>4</v>
      </c>
      <c r="P66" s="93">
        <f>P40</f>
        <v>175.70874888888889</v>
      </c>
      <c r="Q66" s="93">
        <f t="shared" si="36"/>
        <v>702.83499555555557</v>
      </c>
      <c r="R66" s="120">
        <f t="shared" si="35"/>
        <v>950.21989868055562</v>
      </c>
      <c r="S66" s="124">
        <f t="shared" si="37"/>
        <v>33.257696453819449</v>
      </c>
    </row>
    <row r="67" spans="1:19" x14ac:dyDescent="0.3">
      <c r="A67" s="2" t="s">
        <v>56</v>
      </c>
      <c r="B67" s="2" t="s">
        <v>80</v>
      </c>
      <c r="C67" s="145">
        <v>1138</v>
      </c>
      <c r="D67" s="95">
        <f t="shared" si="26"/>
        <v>839.60234539999999</v>
      </c>
      <c r="E67" s="142">
        <f t="shared" si="38"/>
        <v>26.221235026362038</v>
      </c>
      <c r="F67" s="111">
        <f t="shared" si="27"/>
        <v>1199.431922</v>
      </c>
      <c r="G67" s="115">
        <f t="shared" si="28"/>
        <v>1119.4697938666666</v>
      </c>
      <c r="H67" s="107">
        <f t="shared" si="29"/>
        <v>1049.50293175</v>
      </c>
      <c r="I67" s="103">
        <f t="shared" si="30"/>
        <v>987.76746517647064</v>
      </c>
      <c r="J67" s="99">
        <f t="shared" si="31"/>
        <v>932.89149488888881</v>
      </c>
      <c r="K67" s="88">
        <f>'Part Pricing'!B173</f>
        <v>100</v>
      </c>
      <c r="L67" s="88">
        <f t="shared" si="32"/>
        <v>8.375</v>
      </c>
      <c r="M67" s="90">
        <f t="shared" si="33"/>
        <v>108.375</v>
      </c>
      <c r="N67" s="90">
        <v>0</v>
      </c>
      <c r="O67" s="51">
        <v>4</v>
      </c>
      <c r="P67" s="93">
        <f>P40</f>
        <v>175.70874888888889</v>
      </c>
      <c r="Q67" s="93">
        <f t="shared" si="36"/>
        <v>702.83499555555557</v>
      </c>
      <c r="R67" s="120">
        <f t="shared" si="35"/>
        <v>811.20999555555557</v>
      </c>
      <c r="S67" s="124">
        <f t="shared" si="37"/>
        <v>28.392349844444446</v>
      </c>
    </row>
    <row r="68" spans="1:19" x14ac:dyDescent="0.3">
      <c r="A68" s="2" t="s">
        <v>98</v>
      </c>
      <c r="B68" s="2" t="s">
        <v>355</v>
      </c>
      <c r="C68" s="145">
        <v>4668</v>
      </c>
      <c r="D68" s="95">
        <f t="shared" si="26"/>
        <v>2540.5437226749996</v>
      </c>
      <c r="E68" s="142">
        <f t="shared" si="38"/>
        <v>45.575327277742083</v>
      </c>
      <c r="F68" s="111">
        <f t="shared" si="27"/>
        <v>3629.3481752499997</v>
      </c>
      <c r="G68" s="115">
        <f t="shared" si="28"/>
        <v>3387.3916302333328</v>
      </c>
      <c r="H68" s="107">
        <f t="shared" si="29"/>
        <v>3175.6796533437491</v>
      </c>
      <c r="I68" s="103">
        <f t="shared" si="30"/>
        <v>2988.8749678529407</v>
      </c>
      <c r="J68" s="99">
        <f t="shared" si="31"/>
        <v>2822.8263585277773</v>
      </c>
      <c r="K68" s="128">
        <f>'Part Combo'!D168</f>
        <v>967.9</v>
      </c>
      <c r="L68" s="88">
        <f t="shared" si="32"/>
        <v>81.061625000000006</v>
      </c>
      <c r="M68" s="90">
        <f t="shared" si="33"/>
        <v>1048.9616249999999</v>
      </c>
      <c r="N68" s="90">
        <v>0</v>
      </c>
      <c r="O68" s="51">
        <v>8</v>
      </c>
      <c r="P68" s="93">
        <f>P40</f>
        <v>175.70874888888889</v>
      </c>
      <c r="Q68" s="93">
        <f t="shared" si="36"/>
        <v>1405.6699911111111</v>
      </c>
      <c r="R68" s="120">
        <f t="shared" si="35"/>
        <v>2454.6316161111108</v>
      </c>
      <c r="S68" s="124">
        <f t="shared" si="37"/>
        <v>85.912106563888884</v>
      </c>
    </row>
    <row r="69" spans="1:19" x14ac:dyDescent="0.3">
      <c r="A69" s="2" t="s">
        <v>98</v>
      </c>
      <c r="B69" s="2" t="s">
        <v>354</v>
      </c>
      <c r="C69" s="145">
        <v>4778</v>
      </c>
      <c r="D69" s="95">
        <f t="shared" si="26"/>
        <v>2632.8580895500004</v>
      </c>
      <c r="E69" s="142">
        <f t="shared" si="38"/>
        <v>44.89623085914608</v>
      </c>
      <c r="F69" s="111">
        <f t="shared" si="27"/>
        <v>3761.2258422142863</v>
      </c>
      <c r="G69" s="115">
        <f t="shared" si="28"/>
        <v>3510.4774527333338</v>
      </c>
      <c r="H69" s="107">
        <f t="shared" si="29"/>
        <v>3291.0726119375004</v>
      </c>
      <c r="I69" s="103">
        <f t="shared" si="30"/>
        <v>3097.4801053529418</v>
      </c>
      <c r="J69" s="99">
        <f t="shared" si="31"/>
        <v>2925.3978772777782</v>
      </c>
      <c r="K69" s="128">
        <f>'Part Combo'!D183</f>
        <v>1050.2</v>
      </c>
      <c r="L69" s="88">
        <f t="shared" si="32"/>
        <v>87.954250000000016</v>
      </c>
      <c r="M69" s="90">
        <f t="shared" si="33"/>
        <v>1138.15425</v>
      </c>
      <c r="N69" s="90">
        <v>0</v>
      </c>
      <c r="O69" s="51">
        <v>8</v>
      </c>
      <c r="P69" s="93">
        <f t="shared" ref="P69:P74" si="39">P2</f>
        <v>175.70874888888889</v>
      </c>
      <c r="Q69" s="93">
        <f t="shared" si="36"/>
        <v>1405.6699911111111</v>
      </c>
      <c r="R69" s="120">
        <f t="shared" si="35"/>
        <v>2543.8242411111114</v>
      </c>
      <c r="S69" s="124">
        <f t="shared" si="37"/>
        <v>89.03384843888891</v>
      </c>
    </row>
    <row r="70" spans="1:19" x14ac:dyDescent="0.3">
      <c r="A70" s="2" t="s">
        <v>98</v>
      </c>
      <c r="B70" s="2" t="s">
        <v>533</v>
      </c>
      <c r="C70" s="145">
        <v>5648</v>
      </c>
      <c r="D70" s="95">
        <f t="shared" si="26"/>
        <v>2921.3713322687499</v>
      </c>
      <c r="E70" s="142">
        <f t="shared" si="38"/>
        <v>48.27600332385358</v>
      </c>
      <c r="F70" s="111">
        <f t="shared" si="27"/>
        <v>4173.387617526786</v>
      </c>
      <c r="G70" s="115">
        <f t="shared" si="28"/>
        <v>3895.1617763583331</v>
      </c>
      <c r="H70" s="107">
        <f t="shared" si="29"/>
        <v>3651.7141653359372</v>
      </c>
      <c r="I70" s="103">
        <f t="shared" si="30"/>
        <v>3436.9074497279412</v>
      </c>
      <c r="J70" s="99">
        <f t="shared" si="31"/>
        <v>3245.9681469652778</v>
      </c>
      <c r="K70" s="128">
        <f>'Part Combo'!D198</f>
        <v>1307.415</v>
      </c>
      <c r="L70" s="88">
        <f t="shared" si="32"/>
        <v>109.49600625000001</v>
      </c>
      <c r="M70" s="90">
        <f t="shared" si="33"/>
        <v>1416.9110062499999</v>
      </c>
      <c r="N70" s="90">
        <v>0</v>
      </c>
      <c r="O70" s="51">
        <v>8</v>
      </c>
      <c r="P70" s="93">
        <f t="shared" si="39"/>
        <v>175.70874888888889</v>
      </c>
      <c r="Q70" s="93">
        <f t="shared" si="36"/>
        <v>1405.6699911111111</v>
      </c>
      <c r="R70" s="120">
        <f t="shared" si="35"/>
        <v>2822.5809973611113</v>
      </c>
      <c r="S70" s="124">
        <f t="shared" si="37"/>
        <v>98.790334907638908</v>
      </c>
    </row>
    <row r="71" spans="1:19" x14ac:dyDescent="0.3">
      <c r="A71" s="2" t="s">
        <v>98</v>
      </c>
      <c r="B71" s="2" t="s">
        <v>534</v>
      </c>
      <c r="C71" s="145">
        <v>5778</v>
      </c>
      <c r="D71" s="95">
        <f t="shared" si="26"/>
        <v>2962.6435938625</v>
      </c>
      <c r="E71" s="142">
        <f t="shared" si="38"/>
        <v>48.725448358212184</v>
      </c>
      <c r="F71" s="111">
        <f t="shared" si="27"/>
        <v>4232.3479912321427</v>
      </c>
      <c r="G71" s="115">
        <f t="shared" si="28"/>
        <v>3950.1914584833335</v>
      </c>
      <c r="H71" s="107">
        <f t="shared" si="29"/>
        <v>3703.304492328125</v>
      </c>
      <c r="I71" s="103">
        <f t="shared" si="30"/>
        <v>3485.4630516029411</v>
      </c>
      <c r="J71" s="99">
        <f t="shared" si="31"/>
        <v>3291.8262154027775</v>
      </c>
      <c r="K71" s="128">
        <f>'Part Combo'!D213</f>
        <v>1344.21</v>
      </c>
      <c r="L71" s="88">
        <f t="shared" si="32"/>
        <v>112.57758750000001</v>
      </c>
      <c r="M71" s="90">
        <f t="shared" si="33"/>
        <v>1456.7875875</v>
      </c>
      <c r="N71" s="90">
        <v>0</v>
      </c>
      <c r="O71" s="51">
        <v>8</v>
      </c>
      <c r="P71" s="93">
        <f t="shared" si="39"/>
        <v>175.70874888888889</v>
      </c>
      <c r="Q71" s="93">
        <f t="shared" si="36"/>
        <v>1405.6699911111111</v>
      </c>
      <c r="R71" s="120">
        <f t="shared" si="35"/>
        <v>2862.4575786111109</v>
      </c>
      <c r="S71" s="124">
        <f t="shared" si="37"/>
        <v>100.18601525138889</v>
      </c>
    </row>
    <row r="72" spans="1:19" x14ac:dyDescent="0.3">
      <c r="A72" s="2" t="s">
        <v>98</v>
      </c>
      <c r="B72" s="2" t="s">
        <v>535</v>
      </c>
      <c r="C72" s="145">
        <v>8338</v>
      </c>
      <c r="D72" s="95">
        <f t="shared" si="26"/>
        <v>5197.8529673250005</v>
      </c>
      <c r="E72" s="142">
        <f t="shared" si="38"/>
        <v>37.660674414427916</v>
      </c>
      <c r="F72" s="111">
        <f t="shared" si="27"/>
        <v>7425.5042390357157</v>
      </c>
      <c r="G72" s="115">
        <f t="shared" si="28"/>
        <v>6930.4706231000009</v>
      </c>
      <c r="H72" s="107">
        <f t="shared" si="29"/>
        <v>6497.3162091562499</v>
      </c>
      <c r="I72" s="103">
        <f t="shared" si="30"/>
        <v>6115.1211380294126</v>
      </c>
      <c r="J72" s="99">
        <f t="shared" si="31"/>
        <v>5775.3921859166667</v>
      </c>
      <c r="K72" s="128">
        <f>'Part Combo'!D229</f>
        <v>2688.42</v>
      </c>
      <c r="L72" s="88">
        <f t="shared" si="32"/>
        <v>225.15517500000001</v>
      </c>
      <c r="M72" s="90">
        <f t="shared" si="33"/>
        <v>2913.5751749999999</v>
      </c>
      <c r="N72" s="90">
        <v>0</v>
      </c>
      <c r="O72" s="51">
        <v>12</v>
      </c>
      <c r="P72" s="93">
        <f t="shared" si="39"/>
        <v>175.70874888888889</v>
      </c>
      <c r="Q72" s="93">
        <f t="shared" si="36"/>
        <v>2108.5049866666668</v>
      </c>
      <c r="R72" s="120">
        <f t="shared" si="35"/>
        <v>5022.0801616666668</v>
      </c>
      <c r="S72" s="124">
        <f t="shared" si="37"/>
        <v>175.77280565833334</v>
      </c>
    </row>
    <row r="73" spans="1:19" x14ac:dyDescent="0.3">
      <c r="A73" s="2" t="s">
        <v>57</v>
      </c>
      <c r="B73" s="2" t="s">
        <v>58</v>
      </c>
      <c r="C73" s="145">
        <v>918</v>
      </c>
      <c r="D73" s="95">
        <f t="shared" si="26"/>
        <v>588.01970976250004</v>
      </c>
      <c r="E73" s="142">
        <f t="shared" si="38"/>
        <v>35.94556538534858</v>
      </c>
      <c r="F73" s="111">
        <f t="shared" si="27"/>
        <v>840.02815680357151</v>
      </c>
      <c r="G73" s="115">
        <f t="shared" si="28"/>
        <v>784.02627968333343</v>
      </c>
      <c r="H73" s="107">
        <f t="shared" si="29"/>
        <v>735.02463720312505</v>
      </c>
      <c r="I73" s="103">
        <f t="shared" si="30"/>
        <v>691.78789383823539</v>
      </c>
      <c r="J73" s="99">
        <f t="shared" si="31"/>
        <v>653.35523306944447</v>
      </c>
      <c r="K73" s="128">
        <f>'Part Pricing'!B169</f>
        <v>199.97</v>
      </c>
      <c r="L73" s="88">
        <f t="shared" si="32"/>
        <v>16.747487500000002</v>
      </c>
      <c r="M73" s="90">
        <f t="shared" si="33"/>
        <v>216.7174875</v>
      </c>
      <c r="N73" s="90">
        <v>0</v>
      </c>
      <c r="O73" s="51">
        <v>2</v>
      </c>
      <c r="P73" s="93">
        <f t="shared" si="39"/>
        <v>175.70874888888889</v>
      </c>
      <c r="Q73" s="93">
        <f t="shared" si="36"/>
        <v>351.41749777777778</v>
      </c>
      <c r="R73" s="120">
        <f t="shared" si="35"/>
        <v>568.13498527777779</v>
      </c>
      <c r="S73" s="124">
        <f t="shared" si="37"/>
        <v>19.884724484722224</v>
      </c>
    </row>
    <row r="74" spans="1:19" x14ac:dyDescent="0.3">
      <c r="A74" s="2" t="s">
        <v>6</v>
      </c>
      <c r="B74" s="2" t="s">
        <v>30</v>
      </c>
      <c r="C74" s="145">
        <v>728</v>
      </c>
      <c r="D74" s="95">
        <f t="shared" si="26"/>
        <v>382.23288939687495</v>
      </c>
      <c r="E74" s="142">
        <f t="shared" si="38"/>
        <v>47.495482225703988</v>
      </c>
      <c r="F74" s="111">
        <f t="shared" si="27"/>
        <v>546.04698485267852</v>
      </c>
      <c r="G74" s="115">
        <f t="shared" si="28"/>
        <v>509.64385252916662</v>
      </c>
      <c r="H74" s="107">
        <f t="shared" si="29"/>
        <v>477.79111174609369</v>
      </c>
      <c r="I74" s="103">
        <f t="shared" si="30"/>
        <v>449.68575223161758</v>
      </c>
      <c r="J74" s="99">
        <f t="shared" si="31"/>
        <v>424.70321044097216</v>
      </c>
      <c r="K74" s="88">
        <f>'Part Combo'!H125</f>
        <v>178.63749999999999</v>
      </c>
      <c r="L74" s="88">
        <f t="shared" si="32"/>
        <v>14.960890624999999</v>
      </c>
      <c r="M74" s="90">
        <f t="shared" si="33"/>
        <v>193.59839062499998</v>
      </c>
      <c r="N74" s="90">
        <v>0</v>
      </c>
      <c r="O74" s="51">
        <v>1</v>
      </c>
      <c r="P74" s="93">
        <f t="shared" si="39"/>
        <v>175.70874888888889</v>
      </c>
      <c r="Q74" s="93">
        <f t="shared" si="36"/>
        <v>175.70874888888889</v>
      </c>
      <c r="R74" s="120">
        <f t="shared" si="35"/>
        <v>369.30713951388884</v>
      </c>
      <c r="S74" s="124">
        <f t="shared" si="37"/>
        <v>12.925749882986111</v>
      </c>
    </row>
    <row r="75" spans="1:19" x14ac:dyDescent="0.3">
      <c r="A75" s="2" t="s">
        <v>6</v>
      </c>
      <c r="B75" s="2" t="s">
        <v>81</v>
      </c>
      <c r="C75" s="145">
        <v>1018</v>
      </c>
      <c r="D75" s="95">
        <f t="shared" si="26"/>
        <v>619.76048493437497</v>
      </c>
      <c r="E75" s="142">
        <f t="shared" si="38"/>
        <v>39.119795193086937</v>
      </c>
      <c r="F75" s="111">
        <f t="shared" si="27"/>
        <v>885.37212133482149</v>
      </c>
      <c r="G75" s="115">
        <f t="shared" si="28"/>
        <v>826.34731324583333</v>
      </c>
      <c r="H75" s="107">
        <f t="shared" si="29"/>
        <v>774.70060616796866</v>
      </c>
      <c r="I75" s="103">
        <f t="shared" si="30"/>
        <v>729.1299822757353</v>
      </c>
      <c r="J75" s="99">
        <f t="shared" si="31"/>
        <v>688.62276103819443</v>
      </c>
      <c r="K75" s="88">
        <f>'Part Combo'!H153</f>
        <v>228.26750000000001</v>
      </c>
      <c r="L75" s="88">
        <f t="shared" si="32"/>
        <v>19.117403125000003</v>
      </c>
      <c r="M75" s="90">
        <f t="shared" si="33"/>
        <v>247.38490312500002</v>
      </c>
      <c r="N75" s="90">
        <v>0</v>
      </c>
      <c r="O75" s="51">
        <v>2</v>
      </c>
      <c r="P75" s="93">
        <f>P9</f>
        <v>175.70874888888889</v>
      </c>
      <c r="Q75" s="93">
        <f t="shared" si="36"/>
        <v>351.41749777777778</v>
      </c>
      <c r="R75" s="120">
        <f t="shared" si="35"/>
        <v>598.80240090277778</v>
      </c>
      <c r="S75" s="124">
        <f t="shared" si="37"/>
        <v>20.958084031597224</v>
      </c>
    </row>
    <row r="76" spans="1:19" x14ac:dyDescent="0.3">
      <c r="A76" s="2" t="s">
        <v>6</v>
      </c>
      <c r="B76" s="2" t="s">
        <v>124</v>
      </c>
      <c r="C76" s="145">
        <v>698</v>
      </c>
      <c r="D76" s="95">
        <f t="shared" si="26"/>
        <v>354.33948091250005</v>
      </c>
      <c r="E76" s="142">
        <f t="shared" si="38"/>
        <v>49.235031387893976</v>
      </c>
      <c r="F76" s="111">
        <f t="shared" si="27"/>
        <v>506.1992584464287</v>
      </c>
      <c r="G76" s="115">
        <f t="shared" si="28"/>
        <v>472.45264121666673</v>
      </c>
      <c r="H76" s="107">
        <f t="shared" si="29"/>
        <v>442.92435114062505</v>
      </c>
      <c r="I76" s="103">
        <f t="shared" si="30"/>
        <v>416.86997754411772</v>
      </c>
      <c r="J76" s="99">
        <f t="shared" si="31"/>
        <v>393.71053434722228</v>
      </c>
      <c r="K76" s="88">
        <f>'Part Pricing'!B171</f>
        <v>153.77000000000001</v>
      </c>
      <c r="L76" s="88">
        <f t="shared" si="32"/>
        <v>12.878237500000001</v>
      </c>
      <c r="M76" s="90">
        <f t="shared" si="33"/>
        <v>166.64823750000002</v>
      </c>
      <c r="N76" s="90">
        <v>0</v>
      </c>
      <c r="O76" s="51">
        <v>1</v>
      </c>
      <c r="P76" s="93">
        <f>P10</f>
        <v>175.70874888888889</v>
      </c>
      <c r="Q76" s="93">
        <f t="shared" si="36"/>
        <v>175.70874888888889</v>
      </c>
      <c r="R76" s="120">
        <f t="shared" si="35"/>
        <v>342.35698638888891</v>
      </c>
      <c r="S76" s="124">
        <f t="shared" si="37"/>
        <v>11.982494523611113</v>
      </c>
    </row>
    <row r="77" spans="1:19" x14ac:dyDescent="0.3">
      <c r="A77" s="2" t="s">
        <v>6</v>
      </c>
      <c r="B77" s="2" t="s">
        <v>128</v>
      </c>
      <c r="C77" s="145">
        <v>838</v>
      </c>
      <c r="D77" s="95">
        <f t="shared" si="26"/>
        <v>583.34772033750005</v>
      </c>
      <c r="E77" s="142">
        <f t="shared" si="38"/>
        <v>30.388100198389019</v>
      </c>
      <c r="F77" s="111">
        <f t="shared" si="27"/>
        <v>833.35388619642868</v>
      </c>
      <c r="G77" s="115">
        <f t="shared" si="28"/>
        <v>777.79696045000003</v>
      </c>
      <c r="H77" s="107">
        <f t="shared" si="29"/>
        <v>729.18465042187506</v>
      </c>
      <c r="I77" s="103">
        <f t="shared" si="30"/>
        <v>686.2914356911765</v>
      </c>
      <c r="J77" s="99">
        <f t="shared" si="31"/>
        <v>648.16413370833334</v>
      </c>
      <c r="K77" s="128">
        <f>'Part Pricing'!B177</f>
        <v>276.87</v>
      </c>
      <c r="L77" s="88">
        <f t="shared" si="32"/>
        <v>23.187862500000001</v>
      </c>
      <c r="M77" s="90">
        <f t="shared" si="33"/>
        <v>300.0578625</v>
      </c>
      <c r="N77" s="90">
        <v>0</v>
      </c>
      <c r="O77" s="51">
        <v>1.5</v>
      </c>
      <c r="P77" s="93">
        <f>P11</f>
        <v>175.70874888888889</v>
      </c>
      <c r="Q77" s="93">
        <f t="shared" si="36"/>
        <v>263.56312333333335</v>
      </c>
      <c r="R77" s="120">
        <f t="shared" si="35"/>
        <v>563.62098583333341</v>
      </c>
      <c r="S77" s="124">
        <f t="shared" si="37"/>
        <v>19.726734504166672</v>
      </c>
    </row>
    <row r="78" spans="1:19" x14ac:dyDescent="0.3">
      <c r="A78" s="2" t="s">
        <v>6</v>
      </c>
      <c r="B78" s="2" t="s">
        <v>136</v>
      </c>
      <c r="C78" s="145">
        <v>228</v>
      </c>
      <c r="D78" s="95">
        <f t="shared" si="26"/>
        <v>181.85855509999999</v>
      </c>
      <c r="E78" s="142">
        <f t="shared" si="38"/>
        <v>20.237475833333338</v>
      </c>
      <c r="F78" s="111">
        <f t="shared" si="27"/>
        <v>259.79793585714287</v>
      </c>
      <c r="G78" s="115">
        <f t="shared" si="28"/>
        <v>242.47807346666664</v>
      </c>
      <c r="H78" s="107">
        <f t="shared" si="29"/>
        <v>227.32319387499999</v>
      </c>
      <c r="I78" s="103">
        <f t="shared" si="30"/>
        <v>213.95124129411764</v>
      </c>
      <c r="J78" s="99">
        <f t="shared" si="31"/>
        <v>202.0650612222222</v>
      </c>
      <c r="K78" s="88">
        <f>'Part Pricing'!B238</f>
        <v>0</v>
      </c>
      <c r="L78" s="88">
        <f t="shared" si="32"/>
        <v>0</v>
      </c>
      <c r="M78" s="90">
        <f t="shared" si="33"/>
        <v>0</v>
      </c>
      <c r="N78" s="90">
        <v>0</v>
      </c>
      <c r="O78" s="51">
        <v>1</v>
      </c>
      <c r="P78" s="93">
        <f>P13</f>
        <v>175.70874888888889</v>
      </c>
      <c r="Q78" s="93">
        <f t="shared" si="36"/>
        <v>175.70874888888889</v>
      </c>
      <c r="R78" s="120">
        <f t="shared" si="35"/>
        <v>175.70874888888889</v>
      </c>
      <c r="S78" s="124">
        <f t="shared" si="37"/>
        <v>6.1498062111111116</v>
      </c>
    </row>
    <row r="79" spans="1:19" x14ac:dyDescent="0.3">
      <c r="A79" s="4" t="s">
        <v>154</v>
      </c>
      <c r="B79" s="4"/>
      <c r="C79" s="146"/>
      <c r="D79" s="94" t="s">
        <v>147</v>
      </c>
      <c r="E79" s="142"/>
      <c r="F79" s="110" t="s">
        <v>459</v>
      </c>
      <c r="G79" s="114" t="s">
        <v>490</v>
      </c>
      <c r="H79" s="106" t="s">
        <v>489</v>
      </c>
      <c r="I79" s="102" t="s">
        <v>491</v>
      </c>
      <c r="J79" s="98" t="s">
        <v>488</v>
      </c>
      <c r="K79" s="88" t="s">
        <v>457</v>
      </c>
      <c r="L79" s="88" t="s">
        <v>454</v>
      </c>
      <c r="M79" s="90" t="s">
        <v>456</v>
      </c>
      <c r="N79" s="90" t="s">
        <v>148</v>
      </c>
      <c r="O79" s="51" t="s">
        <v>146</v>
      </c>
      <c r="P79" s="51" t="s">
        <v>453</v>
      </c>
      <c r="Q79" s="51" t="s">
        <v>458</v>
      </c>
      <c r="R79" s="119" t="s">
        <v>455</v>
      </c>
      <c r="S79" s="123" t="s">
        <v>492</v>
      </c>
    </row>
    <row r="80" spans="1:19" x14ac:dyDescent="0.3">
      <c r="A80" s="2" t="s">
        <v>155</v>
      </c>
      <c r="B80" s="2" t="s">
        <v>156</v>
      </c>
      <c r="C80" s="145"/>
      <c r="D80" s="94"/>
      <c r="E80" s="142"/>
      <c r="F80" s="110"/>
      <c r="G80" s="114"/>
      <c r="H80" s="106"/>
      <c r="I80" s="102"/>
      <c r="J80" s="98"/>
      <c r="K80" s="88"/>
      <c r="L80" s="88"/>
      <c r="M80" s="90"/>
      <c r="N80" s="90"/>
      <c r="O80" s="51"/>
      <c r="P80" s="51"/>
      <c r="Q80" s="51"/>
      <c r="R80" s="119"/>
      <c r="S80" s="123"/>
    </row>
    <row r="81" spans="1:19" x14ac:dyDescent="0.3">
      <c r="A81" s="2" t="s">
        <v>325</v>
      </c>
      <c r="B81" s="2" t="s">
        <v>328</v>
      </c>
      <c r="C81" s="145"/>
      <c r="D81" s="94"/>
      <c r="E81" s="142"/>
      <c r="F81" s="110"/>
      <c r="G81" s="114"/>
      <c r="H81" s="106"/>
      <c r="I81" s="102"/>
      <c r="J81" s="98"/>
      <c r="K81" s="88"/>
      <c r="L81" s="88"/>
      <c r="M81" s="90"/>
      <c r="N81" s="90"/>
      <c r="O81" s="51"/>
      <c r="P81" s="51"/>
      <c r="Q81" s="51"/>
      <c r="R81" s="119"/>
      <c r="S81" s="123"/>
    </row>
    <row r="82" spans="1:19" x14ac:dyDescent="0.3">
      <c r="A82" s="2" t="s">
        <v>326</v>
      </c>
      <c r="B82" s="2" t="s">
        <v>327</v>
      </c>
      <c r="C82" s="145"/>
      <c r="D82" s="94"/>
      <c r="E82" s="142"/>
      <c r="F82" s="110"/>
      <c r="G82" s="114"/>
      <c r="H82" s="106"/>
      <c r="I82" s="102"/>
      <c r="J82" s="98"/>
      <c r="K82" s="88"/>
      <c r="L82" s="88"/>
      <c r="M82" s="90"/>
      <c r="N82" s="90"/>
      <c r="O82" s="51"/>
      <c r="P82" s="51"/>
      <c r="Q82" s="51"/>
      <c r="R82" s="119"/>
      <c r="S82" s="123"/>
    </row>
    <row r="83" spans="1:19" x14ac:dyDescent="0.3">
      <c r="A83" s="4" t="s">
        <v>23</v>
      </c>
      <c r="B83" s="2"/>
      <c r="C83" s="145"/>
      <c r="D83" s="94" t="s">
        <v>147</v>
      </c>
      <c r="E83" s="142"/>
      <c r="F83" s="110" t="s">
        <v>459</v>
      </c>
      <c r="G83" s="114" t="s">
        <v>490</v>
      </c>
      <c r="H83" s="106" t="s">
        <v>489</v>
      </c>
      <c r="I83" s="102" t="s">
        <v>491</v>
      </c>
      <c r="J83" s="98" t="s">
        <v>488</v>
      </c>
      <c r="K83" s="88" t="s">
        <v>457</v>
      </c>
      <c r="L83" s="88" t="s">
        <v>454</v>
      </c>
      <c r="M83" s="90" t="s">
        <v>456</v>
      </c>
      <c r="N83" s="90" t="s">
        <v>148</v>
      </c>
      <c r="O83" s="51" t="s">
        <v>146</v>
      </c>
      <c r="P83" s="51" t="s">
        <v>453</v>
      </c>
      <c r="Q83" s="51" t="s">
        <v>458</v>
      </c>
      <c r="R83" s="119" t="s">
        <v>455</v>
      </c>
      <c r="S83" s="123" t="s">
        <v>492</v>
      </c>
    </row>
    <row r="84" spans="1:19" x14ac:dyDescent="0.3">
      <c r="A84" s="2" t="s">
        <v>23</v>
      </c>
      <c r="B84" s="2" t="s">
        <v>24</v>
      </c>
      <c r="C84" s="145">
        <v>278</v>
      </c>
      <c r="D84" s="95">
        <f t="shared" ref="D84:D96" si="40">R84+S84</f>
        <v>246.91606759999999</v>
      </c>
      <c r="E84" s="142">
        <f t="shared" si="38"/>
        <v>11.181270647482018</v>
      </c>
      <c r="F84" s="111">
        <f t="shared" ref="F84:F96" si="41">D84/0.7</f>
        <v>352.73723942857146</v>
      </c>
      <c r="G84" s="115">
        <f t="shared" ref="G84:G96" si="42">D84/0.75</f>
        <v>329.22142346666664</v>
      </c>
      <c r="H84" s="107">
        <f t="shared" ref="H84:H96" si="43">D84/0.8</f>
        <v>308.6450845</v>
      </c>
      <c r="I84" s="103">
        <f t="shared" ref="I84:I96" si="44">D84/0.85</f>
        <v>290.48949129411767</v>
      </c>
      <c r="J84" s="99">
        <f t="shared" ref="J84:J96" si="45">D84/0.9</f>
        <v>274.35118622222222</v>
      </c>
      <c r="K84" s="88">
        <f>'Part Pricing'!B113</f>
        <v>58</v>
      </c>
      <c r="L84" s="88">
        <f t="shared" ref="L84:L96" si="46">K84*0.08375</f>
        <v>4.8574999999999999</v>
      </c>
      <c r="M84" s="90">
        <f t="shared" ref="M84:M96" si="47">K84+L84</f>
        <v>62.857500000000002</v>
      </c>
      <c r="N84" s="90">
        <v>0</v>
      </c>
      <c r="O84" s="51">
        <v>1</v>
      </c>
      <c r="P84" s="93">
        <f t="shared" ref="P84:P93" si="48">P2</f>
        <v>175.70874888888889</v>
      </c>
      <c r="Q84" s="93">
        <f>(O84*P84)+N84</f>
        <v>175.70874888888889</v>
      </c>
      <c r="R84" s="120">
        <f t="shared" ref="R84:R96" si="49">Q84+M84</f>
        <v>238.56624888888888</v>
      </c>
      <c r="S84" s="124">
        <f>R84*0.035</f>
        <v>8.3498187111111122</v>
      </c>
    </row>
    <row r="85" spans="1:19" x14ac:dyDescent="0.3">
      <c r="A85" s="2" t="s">
        <v>23</v>
      </c>
      <c r="B85" s="2" t="s">
        <v>38</v>
      </c>
      <c r="C85" s="145">
        <v>228</v>
      </c>
      <c r="D85" s="95">
        <f t="shared" si="40"/>
        <v>181.85855509999999</v>
      </c>
      <c r="E85" s="142">
        <f t="shared" si="38"/>
        <v>20.237475833333338</v>
      </c>
      <c r="F85" s="111">
        <f t="shared" si="41"/>
        <v>259.79793585714287</v>
      </c>
      <c r="G85" s="115">
        <f t="shared" si="42"/>
        <v>242.47807346666664</v>
      </c>
      <c r="H85" s="107">
        <f t="shared" si="43"/>
        <v>227.32319387499999</v>
      </c>
      <c r="I85" s="103">
        <f t="shared" si="44"/>
        <v>213.95124129411764</v>
      </c>
      <c r="J85" s="99">
        <f t="shared" si="45"/>
        <v>202.0650612222222</v>
      </c>
      <c r="K85" s="88">
        <v>0</v>
      </c>
      <c r="L85" s="88">
        <f t="shared" si="46"/>
        <v>0</v>
      </c>
      <c r="M85" s="90">
        <f t="shared" si="47"/>
        <v>0</v>
      </c>
      <c r="N85" s="90">
        <v>0</v>
      </c>
      <c r="O85" s="51">
        <v>1</v>
      </c>
      <c r="P85" s="93">
        <f t="shared" si="48"/>
        <v>175.70874888888889</v>
      </c>
      <c r="Q85" s="93">
        <f t="shared" ref="Q85:Q96" si="50">(O85*P85)+N85</f>
        <v>175.70874888888889</v>
      </c>
      <c r="R85" s="120">
        <f t="shared" si="49"/>
        <v>175.70874888888889</v>
      </c>
      <c r="S85" s="124">
        <f t="shared" ref="S85:S96" si="51">R85*0.035</f>
        <v>6.1498062111111116</v>
      </c>
    </row>
    <row r="86" spans="1:19" x14ac:dyDescent="0.3">
      <c r="A86" s="2" t="s">
        <v>23</v>
      </c>
      <c r="B86" s="2" t="s">
        <v>103</v>
      </c>
      <c r="C86" s="145">
        <v>248</v>
      </c>
      <c r="D86" s="95">
        <f t="shared" si="40"/>
        <v>197.21437141249999</v>
      </c>
      <c r="E86" s="142">
        <f t="shared" si="38"/>
        <v>20.478076043346778</v>
      </c>
      <c r="F86" s="111">
        <f t="shared" si="41"/>
        <v>281.73481630357145</v>
      </c>
      <c r="G86" s="115">
        <f t="shared" si="42"/>
        <v>262.95249521666665</v>
      </c>
      <c r="H86" s="107">
        <f t="shared" si="43"/>
        <v>246.51796426562498</v>
      </c>
      <c r="I86" s="103">
        <f t="shared" si="44"/>
        <v>232.01690754411763</v>
      </c>
      <c r="J86" s="99">
        <f t="shared" si="45"/>
        <v>219.12707934722221</v>
      </c>
      <c r="K86" s="88">
        <f>'Part Pricing'!B101</f>
        <v>13.69</v>
      </c>
      <c r="L86" s="88">
        <f t="shared" si="46"/>
        <v>1.1465375</v>
      </c>
      <c r="M86" s="90">
        <f t="shared" si="47"/>
        <v>14.836537499999999</v>
      </c>
      <c r="N86" s="90">
        <v>0</v>
      </c>
      <c r="O86" s="51">
        <v>1</v>
      </c>
      <c r="P86" s="93">
        <f t="shared" si="48"/>
        <v>175.70874888888889</v>
      </c>
      <c r="Q86" s="93">
        <f t="shared" si="50"/>
        <v>175.70874888888889</v>
      </c>
      <c r="R86" s="120">
        <f t="shared" si="49"/>
        <v>190.54528638888888</v>
      </c>
      <c r="S86" s="124">
        <f t="shared" si="51"/>
        <v>6.6690850236111112</v>
      </c>
    </row>
    <row r="87" spans="1:19" x14ac:dyDescent="0.3">
      <c r="A87" s="2" t="s">
        <v>23</v>
      </c>
      <c r="B87" s="2" t="s">
        <v>152</v>
      </c>
      <c r="C87" s="145">
        <v>388</v>
      </c>
      <c r="D87" s="95">
        <f t="shared" si="40"/>
        <v>243.53980703750003</v>
      </c>
      <c r="E87" s="142">
        <f t="shared" si="38"/>
        <v>37.23200849548968</v>
      </c>
      <c r="F87" s="111">
        <f t="shared" si="41"/>
        <v>347.91401005357147</v>
      </c>
      <c r="G87" s="115">
        <f t="shared" si="42"/>
        <v>324.7197427166667</v>
      </c>
      <c r="H87" s="107">
        <f t="shared" si="43"/>
        <v>304.42475879687504</v>
      </c>
      <c r="I87" s="103">
        <f t="shared" si="44"/>
        <v>286.51742004411767</v>
      </c>
      <c r="J87" s="99">
        <f t="shared" si="45"/>
        <v>270.59978559722225</v>
      </c>
      <c r="K87" s="128">
        <f>'Part Pricing'!B95</f>
        <v>54.99</v>
      </c>
      <c r="L87" s="88">
        <f t="shared" si="46"/>
        <v>4.6054125000000008</v>
      </c>
      <c r="M87" s="90">
        <f t="shared" si="47"/>
        <v>59.595412500000002</v>
      </c>
      <c r="N87" s="90">
        <v>0</v>
      </c>
      <c r="O87" s="51">
        <v>1</v>
      </c>
      <c r="P87" s="93">
        <f t="shared" si="48"/>
        <v>175.70874888888889</v>
      </c>
      <c r="Q87" s="93">
        <f t="shared" si="50"/>
        <v>175.70874888888889</v>
      </c>
      <c r="R87" s="120">
        <f t="shared" si="49"/>
        <v>235.3041613888889</v>
      </c>
      <c r="S87" s="124">
        <f t="shared" si="51"/>
        <v>8.2356456486111131</v>
      </c>
    </row>
    <row r="88" spans="1:19" x14ac:dyDescent="0.3">
      <c r="A88" s="2" t="s">
        <v>23</v>
      </c>
      <c r="B88" s="2" t="s">
        <v>104</v>
      </c>
      <c r="C88" s="145">
        <v>418</v>
      </c>
      <c r="D88" s="95">
        <f t="shared" si="40"/>
        <v>254.75661953750003</v>
      </c>
      <c r="E88" s="142">
        <f t="shared" si="38"/>
        <v>39.053440302033486</v>
      </c>
      <c r="F88" s="111">
        <f t="shared" si="41"/>
        <v>363.93802791071437</v>
      </c>
      <c r="G88" s="115">
        <f t="shared" si="42"/>
        <v>339.67549271666672</v>
      </c>
      <c r="H88" s="107">
        <f t="shared" si="43"/>
        <v>318.445774421875</v>
      </c>
      <c r="I88" s="103">
        <f t="shared" si="44"/>
        <v>299.71367004411769</v>
      </c>
      <c r="J88" s="99">
        <f t="shared" si="45"/>
        <v>283.06291059722224</v>
      </c>
      <c r="K88" s="128">
        <f>'Part Pricing'!B96</f>
        <v>64.989999999999995</v>
      </c>
      <c r="L88" s="88">
        <f t="shared" si="46"/>
        <v>5.4429125000000003</v>
      </c>
      <c r="M88" s="90">
        <f t="shared" si="47"/>
        <v>70.4329125</v>
      </c>
      <c r="N88" s="90">
        <v>0</v>
      </c>
      <c r="O88" s="51">
        <v>1</v>
      </c>
      <c r="P88" s="93">
        <f t="shared" si="48"/>
        <v>175.70874888888889</v>
      </c>
      <c r="Q88" s="93">
        <f t="shared" si="50"/>
        <v>175.70874888888889</v>
      </c>
      <c r="R88" s="120">
        <f t="shared" si="49"/>
        <v>246.14166138888891</v>
      </c>
      <c r="S88" s="124">
        <f t="shared" si="51"/>
        <v>8.6149581486111124</v>
      </c>
    </row>
    <row r="89" spans="1:19" x14ac:dyDescent="0.3">
      <c r="A89" s="2" t="s">
        <v>23</v>
      </c>
      <c r="B89" s="2" t="s">
        <v>153</v>
      </c>
      <c r="C89" s="145">
        <v>748</v>
      </c>
      <c r="D89" s="95">
        <f t="shared" si="40"/>
        <v>541.37982935000002</v>
      </c>
      <c r="E89" s="142">
        <f t="shared" si="38"/>
        <v>27.623017466577537</v>
      </c>
      <c r="F89" s="111">
        <f t="shared" si="41"/>
        <v>773.39975621428584</v>
      </c>
      <c r="G89" s="115">
        <f t="shared" si="42"/>
        <v>721.83977246666666</v>
      </c>
      <c r="H89" s="107">
        <f t="shared" si="43"/>
        <v>676.7247866875</v>
      </c>
      <c r="I89" s="103">
        <f t="shared" si="44"/>
        <v>636.91744629411767</v>
      </c>
      <c r="J89" s="99">
        <f t="shared" si="45"/>
        <v>601.53314372222223</v>
      </c>
      <c r="K89" s="128">
        <f>'Part Pricing'!B97</f>
        <v>320.52</v>
      </c>
      <c r="L89" s="88">
        <f t="shared" si="46"/>
        <v>26.84355</v>
      </c>
      <c r="M89" s="90">
        <f t="shared" si="47"/>
        <v>347.36354999999998</v>
      </c>
      <c r="N89" s="90">
        <v>0</v>
      </c>
      <c r="O89" s="51">
        <v>1</v>
      </c>
      <c r="P89" s="93">
        <f t="shared" si="48"/>
        <v>175.70874888888889</v>
      </c>
      <c r="Q89" s="93">
        <f t="shared" si="50"/>
        <v>175.70874888888889</v>
      </c>
      <c r="R89" s="120">
        <f t="shared" si="49"/>
        <v>523.07229888888889</v>
      </c>
      <c r="S89" s="124">
        <f t="shared" si="51"/>
        <v>18.307530461111114</v>
      </c>
    </row>
    <row r="90" spans="1:19" x14ac:dyDescent="0.3">
      <c r="A90" s="2" t="s">
        <v>23</v>
      </c>
      <c r="B90" s="2" t="s">
        <v>399</v>
      </c>
      <c r="C90" s="145">
        <v>958</v>
      </c>
      <c r="D90" s="95">
        <f t="shared" si="40"/>
        <v>783.15280140000004</v>
      </c>
      <c r="E90" s="142">
        <f t="shared" si="38"/>
        <v>18.251273340292272</v>
      </c>
      <c r="F90" s="111">
        <f t="shared" si="41"/>
        <v>1118.7897162857143</v>
      </c>
      <c r="G90" s="115">
        <f t="shared" si="42"/>
        <v>1044.2037352</v>
      </c>
      <c r="H90" s="107">
        <f t="shared" si="43"/>
        <v>978.94100175000005</v>
      </c>
      <c r="I90" s="103">
        <f t="shared" si="44"/>
        <v>921.35623694117658</v>
      </c>
      <c r="J90" s="99">
        <f t="shared" si="45"/>
        <v>870.16977933333339</v>
      </c>
      <c r="K90" s="128">
        <f>'Part Pricing'!B98</f>
        <v>455</v>
      </c>
      <c r="L90" s="88">
        <f t="shared" si="46"/>
        <v>38.106250000000003</v>
      </c>
      <c r="M90" s="90">
        <f t="shared" si="47"/>
        <v>493.10624999999999</v>
      </c>
      <c r="N90" s="90">
        <v>0</v>
      </c>
      <c r="O90" s="51">
        <v>1.5</v>
      </c>
      <c r="P90" s="93">
        <f t="shared" si="48"/>
        <v>175.70874888888889</v>
      </c>
      <c r="Q90" s="93">
        <f t="shared" si="50"/>
        <v>263.56312333333335</v>
      </c>
      <c r="R90" s="120">
        <f t="shared" si="49"/>
        <v>756.6693733333334</v>
      </c>
      <c r="S90" s="124">
        <f t="shared" si="51"/>
        <v>26.483428066666672</v>
      </c>
    </row>
    <row r="91" spans="1:19" x14ac:dyDescent="0.3">
      <c r="A91" s="2" t="s">
        <v>23</v>
      </c>
      <c r="B91" s="2" t="s">
        <v>339</v>
      </c>
      <c r="C91" s="145">
        <v>248</v>
      </c>
      <c r="D91" s="95">
        <f t="shared" si="40"/>
        <v>191.33676166250001</v>
      </c>
      <c r="E91" s="142">
        <f t="shared" si="38"/>
        <v>22.848079974798381</v>
      </c>
      <c r="F91" s="111">
        <f t="shared" si="41"/>
        <v>273.33823094642861</v>
      </c>
      <c r="G91" s="115">
        <f t="shared" si="42"/>
        <v>255.11568221666667</v>
      </c>
      <c r="H91" s="107">
        <f t="shared" si="43"/>
        <v>239.170952078125</v>
      </c>
      <c r="I91" s="103">
        <f t="shared" si="44"/>
        <v>225.10207254411768</v>
      </c>
      <c r="J91" s="99">
        <f t="shared" si="45"/>
        <v>212.59640184722224</v>
      </c>
      <c r="K91" s="88">
        <f>'Part Combo'!D101</f>
        <v>8.4499999999999993</v>
      </c>
      <c r="L91" s="88">
        <f t="shared" si="46"/>
        <v>0.70768750000000002</v>
      </c>
      <c r="M91" s="90">
        <f t="shared" si="47"/>
        <v>9.1576874999999998</v>
      </c>
      <c r="N91" s="90">
        <v>0</v>
      </c>
      <c r="O91" s="51">
        <v>1</v>
      </c>
      <c r="P91" s="93">
        <f t="shared" si="48"/>
        <v>175.70874888888889</v>
      </c>
      <c r="Q91" s="93">
        <f t="shared" si="50"/>
        <v>175.70874888888889</v>
      </c>
      <c r="R91" s="120">
        <f t="shared" si="49"/>
        <v>184.8664363888889</v>
      </c>
      <c r="S91" s="124">
        <f t="shared" si="51"/>
        <v>6.4703252736111123</v>
      </c>
    </row>
    <row r="92" spans="1:19" x14ac:dyDescent="0.3">
      <c r="A92" s="2" t="s">
        <v>23</v>
      </c>
      <c r="B92" s="2" t="s">
        <v>340</v>
      </c>
      <c r="C92" s="145">
        <v>318</v>
      </c>
      <c r="D92" s="95">
        <f t="shared" si="40"/>
        <v>200.814968225</v>
      </c>
      <c r="E92" s="142">
        <f t="shared" si="38"/>
        <v>36.850638922955973</v>
      </c>
      <c r="F92" s="111">
        <f t="shared" si="41"/>
        <v>286.87852603571429</v>
      </c>
      <c r="G92" s="115">
        <f t="shared" si="42"/>
        <v>267.75329096666667</v>
      </c>
      <c r="H92" s="107">
        <f t="shared" si="43"/>
        <v>251.01871028124998</v>
      </c>
      <c r="I92" s="103">
        <f t="shared" si="44"/>
        <v>236.25290379411766</v>
      </c>
      <c r="J92" s="99">
        <f t="shared" si="45"/>
        <v>223.12774247222222</v>
      </c>
      <c r="K92" s="88">
        <f>'Part Combo'!D105</f>
        <v>16.899999999999999</v>
      </c>
      <c r="L92" s="88">
        <f t="shared" si="46"/>
        <v>1.415375</v>
      </c>
      <c r="M92" s="90">
        <f t="shared" si="47"/>
        <v>18.315375</v>
      </c>
      <c r="N92" s="90">
        <v>0</v>
      </c>
      <c r="O92" s="51">
        <v>1</v>
      </c>
      <c r="P92" s="93">
        <f t="shared" si="48"/>
        <v>175.70874888888889</v>
      </c>
      <c r="Q92" s="93">
        <f t="shared" si="50"/>
        <v>175.70874888888889</v>
      </c>
      <c r="R92" s="120">
        <f t="shared" si="49"/>
        <v>194.02412388888888</v>
      </c>
      <c r="S92" s="124">
        <f t="shared" si="51"/>
        <v>6.7908443361111113</v>
      </c>
    </row>
    <row r="93" spans="1:19" x14ac:dyDescent="0.3">
      <c r="A93" s="2" t="s">
        <v>23</v>
      </c>
      <c r="B93" s="2" t="s">
        <v>107</v>
      </c>
      <c r="C93" s="145">
        <v>238</v>
      </c>
      <c r="D93" s="95">
        <f t="shared" si="40"/>
        <v>185.97512528749999</v>
      </c>
      <c r="E93" s="142">
        <f t="shared" si="38"/>
        <v>21.859191055672273</v>
      </c>
      <c r="F93" s="111">
        <f t="shared" si="41"/>
        <v>265.67875041071431</v>
      </c>
      <c r="G93" s="115">
        <f t="shared" si="42"/>
        <v>247.96683371666666</v>
      </c>
      <c r="H93" s="107">
        <f t="shared" si="43"/>
        <v>232.46890660937498</v>
      </c>
      <c r="I93" s="103">
        <f t="shared" si="44"/>
        <v>218.79426504411765</v>
      </c>
      <c r="J93" s="99">
        <f t="shared" si="45"/>
        <v>206.63902809722219</v>
      </c>
      <c r="K93" s="88">
        <f>'Part Pricing'!B100</f>
        <v>3.67</v>
      </c>
      <c r="L93" s="88">
        <f t="shared" si="46"/>
        <v>0.30736250000000004</v>
      </c>
      <c r="M93" s="90">
        <f t="shared" si="47"/>
        <v>3.9773624999999999</v>
      </c>
      <c r="N93" s="90">
        <v>0</v>
      </c>
      <c r="O93" s="51">
        <v>1</v>
      </c>
      <c r="P93" s="93">
        <f t="shared" si="48"/>
        <v>175.70874888888889</v>
      </c>
      <c r="Q93" s="93">
        <f t="shared" si="50"/>
        <v>175.70874888888889</v>
      </c>
      <c r="R93" s="120">
        <f t="shared" si="49"/>
        <v>179.68611138888889</v>
      </c>
      <c r="S93" s="124">
        <f t="shared" si="51"/>
        <v>6.2890138986111115</v>
      </c>
    </row>
    <row r="94" spans="1:19" x14ac:dyDescent="0.3">
      <c r="A94" s="2" t="s">
        <v>23</v>
      </c>
      <c r="B94" s="2" t="s">
        <v>108</v>
      </c>
      <c r="C94" s="145">
        <v>298</v>
      </c>
      <c r="D94" s="95">
        <f t="shared" si="40"/>
        <v>191.21337672500002</v>
      </c>
      <c r="E94" s="142">
        <f t="shared" si="38"/>
        <v>35.834437340604019</v>
      </c>
      <c r="F94" s="111">
        <f t="shared" si="41"/>
        <v>273.16196675000003</v>
      </c>
      <c r="G94" s="115">
        <f t="shared" si="42"/>
        <v>254.9511689666667</v>
      </c>
      <c r="H94" s="107">
        <f t="shared" si="43"/>
        <v>239.01672090625001</v>
      </c>
      <c r="I94" s="103">
        <f t="shared" si="44"/>
        <v>224.95691379411767</v>
      </c>
      <c r="J94" s="99">
        <f t="shared" si="45"/>
        <v>212.45930747222224</v>
      </c>
      <c r="K94" s="88">
        <f>'Part Combo'!D51</f>
        <v>8.34</v>
      </c>
      <c r="L94" s="88">
        <f t="shared" si="46"/>
        <v>0.69847500000000007</v>
      </c>
      <c r="M94" s="90">
        <f t="shared" si="47"/>
        <v>9.038475</v>
      </c>
      <c r="N94" s="90">
        <v>0</v>
      </c>
      <c r="O94" s="51">
        <v>1</v>
      </c>
      <c r="P94" s="93">
        <f>P13</f>
        <v>175.70874888888889</v>
      </c>
      <c r="Q94" s="93">
        <f t="shared" si="50"/>
        <v>175.70874888888889</v>
      </c>
      <c r="R94" s="120">
        <f t="shared" si="49"/>
        <v>184.7472238888889</v>
      </c>
      <c r="S94" s="124">
        <f t="shared" si="51"/>
        <v>6.466152836111112</v>
      </c>
    </row>
    <row r="95" spans="1:19" x14ac:dyDescent="0.3">
      <c r="A95" s="2" t="s">
        <v>23</v>
      </c>
      <c r="B95" s="2" t="s">
        <v>109</v>
      </c>
      <c r="C95" s="145">
        <v>368</v>
      </c>
      <c r="D95" s="95">
        <f t="shared" si="40"/>
        <v>203.0358971</v>
      </c>
      <c r="E95" s="142">
        <f t="shared" si="38"/>
        <v>44.827201875</v>
      </c>
      <c r="F95" s="111">
        <f t="shared" si="41"/>
        <v>290.0512815714286</v>
      </c>
      <c r="G95" s="115">
        <f t="shared" si="42"/>
        <v>270.71452946666665</v>
      </c>
      <c r="H95" s="107">
        <f t="shared" si="43"/>
        <v>253.79487137499999</v>
      </c>
      <c r="I95" s="103">
        <f t="shared" si="44"/>
        <v>238.86576129411765</v>
      </c>
      <c r="J95" s="99">
        <f t="shared" si="45"/>
        <v>225.59544122222221</v>
      </c>
      <c r="K95" s="88">
        <f>'Part Combo'!D56</f>
        <v>18.88</v>
      </c>
      <c r="L95" s="88">
        <f t="shared" si="46"/>
        <v>1.5811999999999999</v>
      </c>
      <c r="M95" s="90">
        <f t="shared" si="47"/>
        <v>20.461199999999998</v>
      </c>
      <c r="N95" s="90">
        <v>0</v>
      </c>
      <c r="O95" s="51">
        <v>1</v>
      </c>
      <c r="P95" s="93">
        <f>P14</f>
        <v>175.70874888888889</v>
      </c>
      <c r="Q95" s="93">
        <f t="shared" si="50"/>
        <v>175.70874888888889</v>
      </c>
      <c r="R95" s="120">
        <f t="shared" si="49"/>
        <v>196.16994888888888</v>
      </c>
      <c r="S95" s="124">
        <f t="shared" si="51"/>
        <v>6.8659482111111112</v>
      </c>
    </row>
    <row r="96" spans="1:19" x14ac:dyDescent="0.3">
      <c r="A96" s="2" t="s">
        <v>23</v>
      </c>
      <c r="B96" s="2" t="s">
        <v>110</v>
      </c>
      <c r="C96" s="145">
        <v>258</v>
      </c>
      <c r="D96" s="95">
        <f t="shared" si="40"/>
        <v>188.99244785000002</v>
      </c>
      <c r="E96" s="142">
        <f t="shared" si="38"/>
        <v>26.7471132364341</v>
      </c>
      <c r="F96" s="111">
        <f t="shared" si="41"/>
        <v>269.98921121428577</v>
      </c>
      <c r="G96" s="115">
        <f t="shared" si="42"/>
        <v>251.98993046666669</v>
      </c>
      <c r="H96" s="107">
        <f t="shared" si="43"/>
        <v>236.24055981250001</v>
      </c>
      <c r="I96" s="103">
        <f t="shared" si="44"/>
        <v>222.34405629411768</v>
      </c>
      <c r="J96" s="99">
        <f t="shared" si="45"/>
        <v>209.99160872222222</v>
      </c>
      <c r="K96" s="88">
        <f>'Part Pricing'!B103</f>
        <v>6.36</v>
      </c>
      <c r="L96" s="88">
        <f t="shared" si="46"/>
        <v>0.53265000000000007</v>
      </c>
      <c r="M96" s="90">
        <f t="shared" si="47"/>
        <v>6.8926500000000006</v>
      </c>
      <c r="N96" s="90">
        <v>0</v>
      </c>
      <c r="O96" s="51">
        <v>1</v>
      </c>
      <c r="P96" s="93">
        <f>P15</f>
        <v>175.70874888888889</v>
      </c>
      <c r="Q96" s="93">
        <f t="shared" si="50"/>
        <v>175.70874888888889</v>
      </c>
      <c r="R96" s="120">
        <f t="shared" si="49"/>
        <v>182.60139888888889</v>
      </c>
      <c r="S96" s="124">
        <f t="shared" si="51"/>
        <v>6.3910489611111121</v>
      </c>
    </row>
    <row r="97" spans="1:19" x14ac:dyDescent="0.3">
      <c r="A97" s="2"/>
      <c r="B97" s="2"/>
      <c r="C97" s="145"/>
      <c r="D97" s="94"/>
      <c r="E97" s="142"/>
      <c r="F97" s="110"/>
      <c r="G97" s="114"/>
      <c r="H97" s="106"/>
      <c r="I97" s="102"/>
      <c r="J97" s="98"/>
      <c r="K97" s="88"/>
      <c r="L97" s="88"/>
      <c r="M97" s="90"/>
      <c r="N97" s="90"/>
      <c r="O97" s="51"/>
      <c r="P97" s="51"/>
      <c r="Q97" s="51"/>
      <c r="R97" s="119"/>
      <c r="S97" s="123"/>
    </row>
    <row r="98" spans="1:19" x14ac:dyDescent="0.3">
      <c r="A98" s="4" t="s">
        <v>52</v>
      </c>
      <c r="B98" s="2"/>
      <c r="C98" s="145"/>
      <c r="D98" s="94" t="s">
        <v>147</v>
      </c>
      <c r="E98" s="142"/>
      <c r="F98" s="110" t="s">
        <v>459</v>
      </c>
      <c r="G98" s="114" t="s">
        <v>490</v>
      </c>
      <c r="H98" s="106" t="s">
        <v>489</v>
      </c>
      <c r="I98" s="102" t="s">
        <v>491</v>
      </c>
      <c r="J98" s="98" t="s">
        <v>488</v>
      </c>
      <c r="K98" s="88" t="s">
        <v>457</v>
      </c>
      <c r="L98" s="88" t="s">
        <v>454</v>
      </c>
      <c r="M98" s="90" t="s">
        <v>456</v>
      </c>
      <c r="N98" s="90" t="s">
        <v>148</v>
      </c>
      <c r="O98" s="51" t="s">
        <v>146</v>
      </c>
      <c r="P98" s="51" t="s">
        <v>453</v>
      </c>
      <c r="Q98" s="51" t="s">
        <v>458</v>
      </c>
      <c r="R98" s="119" t="s">
        <v>455</v>
      </c>
      <c r="S98" s="123" t="s">
        <v>492</v>
      </c>
    </row>
    <row r="99" spans="1:19" x14ac:dyDescent="0.3">
      <c r="A99" s="2" t="s">
        <v>52</v>
      </c>
      <c r="B99" s="2" t="s">
        <v>385</v>
      </c>
      <c r="C99" s="145">
        <v>578</v>
      </c>
      <c r="D99" s="96">
        <f t="shared" ref="D99:D104" si="52">R99+S99</f>
        <v>327.88481565000001</v>
      </c>
      <c r="E99" s="142">
        <f t="shared" si="38"/>
        <v>43.272523243944633</v>
      </c>
      <c r="F99" s="112">
        <f t="shared" ref="F99:F104" si="53">D99/0.7</f>
        <v>468.40687950000006</v>
      </c>
      <c r="G99" s="116">
        <f t="shared" ref="G99:G104" si="54">D99/0.75</f>
        <v>437.17975419999999</v>
      </c>
      <c r="H99" s="108">
        <f t="shared" ref="H99:H104" si="55">D99/0.8</f>
        <v>409.85601956249997</v>
      </c>
      <c r="I99" s="104">
        <f t="shared" ref="I99:I104" si="56">D99/0.85</f>
        <v>385.74684194117651</v>
      </c>
      <c r="J99" s="100">
        <f t="shared" ref="J99:J104" si="57">D99/0.9</f>
        <v>364.31646183333334</v>
      </c>
      <c r="K99" s="128">
        <f>'Part Pricing'!B109</f>
        <v>49.12</v>
      </c>
      <c r="L99" s="88">
        <f t="shared" ref="L99:L104" si="58">K99*0.08375</f>
        <v>4.1138000000000003</v>
      </c>
      <c r="M99" s="90">
        <f t="shared" ref="M99:M104" si="59">K99+L99</f>
        <v>53.233799999999995</v>
      </c>
      <c r="N99" s="90">
        <v>0</v>
      </c>
      <c r="O99" s="51">
        <v>1.5</v>
      </c>
      <c r="P99" s="93">
        <f t="shared" ref="P99:P104" si="60">P2</f>
        <v>175.70874888888889</v>
      </c>
      <c r="Q99" s="93">
        <f t="shared" ref="Q99:Q104" si="61">(O99*P99)+N99</f>
        <v>263.56312333333335</v>
      </c>
      <c r="R99" s="121">
        <f t="shared" ref="R99:R104" si="62">M99+Q99</f>
        <v>316.79692333333332</v>
      </c>
      <c r="S99" s="125">
        <f t="shared" ref="S99:S104" si="63">R99*0.035</f>
        <v>11.087892316666668</v>
      </c>
    </row>
    <row r="100" spans="1:19" x14ac:dyDescent="0.3">
      <c r="A100" s="2" t="s">
        <v>52</v>
      </c>
      <c r="B100" s="2" t="s">
        <v>54</v>
      </c>
      <c r="C100" s="145">
        <v>288</v>
      </c>
      <c r="D100" s="96">
        <f t="shared" si="52"/>
        <v>208.59943610000002</v>
      </c>
      <c r="E100" s="142">
        <f t="shared" si="38"/>
        <v>27.569640243055549</v>
      </c>
      <c r="F100" s="112">
        <f t="shared" si="53"/>
        <v>297.99919442857146</v>
      </c>
      <c r="G100" s="116">
        <f t="shared" si="54"/>
        <v>278.13258146666669</v>
      </c>
      <c r="H100" s="108">
        <f t="shared" si="55"/>
        <v>260.749295125</v>
      </c>
      <c r="I100" s="104">
        <f t="shared" si="56"/>
        <v>245.41110129411769</v>
      </c>
      <c r="J100" s="100">
        <f t="shared" si="57"/>
        <v>231.77715122222224</v>
      </c>
      <c r="K100" s="128">
        <f>'Part Pricing'!B110</f>
        <v>23.84</v>
      </c>
      <c r="L100" s="88">
        <f t="shared" si="58"/>
        <v>1.9966000000000002</v>
      </c>
      <c r="M100" s="90">
        <f t="shared" si="59"/>
        <v>25.836600000000001</v>
      </c>
      <c r="N100" s="90">
        <v>0</v>
      </c>
      <c r="O100" s="51">
        <v>1</v>
      </c>
      <c r="P100" s="93">
        <f t="shared" si="60"/>
        <v>175.70874888888889</v>
      </c>
      <c r="Q100" s="93">
        <f t="shared" si="61"/>
        <v>175.70874888888889</v>
      </c>
      <c r="R100" s="121">
        <f t="shared" si="62"/>
        <v>201.5453488888889</v>
      </c>
      <c r="S100" s="125">
        <f t="shared" si="63"/>
        <v>7.0540872111111117</v>
      </c>
    </row>
    <row r="101" spans="1:19" x14ac:dyDescent="0.3">
      <c r="A101" s="2" t="s">
        <v>52</v>
      </c>
      <c r="B101" s="2" t="s">
        <v>123</v>
      </c>
      <c r="C101" s="145">
        <v>508</v>
      </c>
      <c r="D101" s="96">
        <f t="shared" si="52"/>
        <v>212.6262717875</v>
      </c>
      <c r="E101" s="142">
        <f t="shared" si="38"/>
        <v>58.144434687500002</v>
      </c>
      <c r="F101" s="112">
        <f t="shared" si="53"/>
        <v>303.75181683928571</v>
      </c>
      <c r="G101" s="116">
        <f t="shared" si="54"/>
        <v>283.50169571666669</v>
      </c>
      <c r="H101" s="108">
        <f t="shared" si="55"/>
        <v>265.78283973437499</v>
      </c>
      <c r="I101" s="104">
        <f t="shared" si="56"/>
        <v>250.14855504411764</v>
      </c>
      <c r="J101" s="100">
        <f t="shared" si="57"/>
        <v>236.25141309722221</v>
      </c>
      <c r="K101" s="128">
        <f>'Part Pricing'!B108</f>
        <v>27.43</v>
      </c>
      <c r="L101" s="88">
        <f t="shared" si="58"/>
        <v>2.2972625</v>
      </c>
      <c r="M101" s="90">
        <f t="shared" si="59"/>
        <v>29.727262499999998</v>
      </c>
      <c r="N101" s="90">
        <v>0</v>
      </c>
      <c r="O101" s="51">
        <v>1</v>
      </c>
      <c r="P101" s="93">
        <f t="shared" si="60"/>
        <v>175.70874888888889</v>
      </c>
      <c r="Q101" s="93">
        <f t="shared" si="61"/>
        <v>175.70874888888889</v>
      </c>
      <c r="R101" s="121">
        <f t="shared" si="62"/>
        <v>205.43601138888889</v>
      </c>
      <c r="S101" s="125">
        <f t="shared" si="63"/>
        <v>7.1902603986111115</v>
      </c>
    </row>
    <row r="102" spans="1:19" x14ac:dyDescent="0.3">
      <c r="A102" s="2" t="s">
        <v>52</v>
      </c>
      <c r="B102" s="2" t="s">
        <v>276</v>
      </c>
      <c r="C102" s="145">
        <v>238</v>
      </c>
      <c r="D102" s="96">
        <f t="shared" si="52"/>
        <v>187.32114278750001</v>
      </c>
      <c r="E102" s="142">
        <f t="shared" si="38"/>
        <v>21.293637484243693</v>
      </c>
      <c r="F102" s="112">
        <f t="shared" si="53"/>
        <v>267.60163255357145</v>
      </c>
      <c r="G102" s="116">
        <f t="shared" si="54"/>
        <v>249.76152371666669</v>
      </c>
      <c r="H102" s="108">
        <f t="shared" si="55"/>
        <v>234.151428484375</v>
      </c>
      <c r="I102" s="104">
        <f t="shared" si="56"/>
        <v>220.37781504411765</v>
      </c>
      <c r="J102" s="100">
        <f t="shared" si="57"/>
        <v>208.13460309722223</v>
      </c>
      <c r="K102" s="88">
        <f>'Part Pricing'!B78</f>
        <v>4.87</v>
      </c>
      <c r="L102" s="88">
        <f t="shared" si="58"/>
        <v>0.40786250000000002</v>
      </c>
      <c r="M102" s="90">
        <f t="shared" si="59"/>
        <v>5.2778625000000003</v>
      </c>
      <c r="N102" s="90">
        <v>0</v>
      </c>
      <c r="O102" s="51">
        <v>1</v>
      </c>
      <c r="P102" s="93">
        <f t="shared" si="60"/>
        <v>175.70874888888889</v>
      </c>
      <c r="Q102" s="93">
        <f t="shared" si="61"/>
        <v>175.70874888888889</v>
      </c>
      <c r="R102" s="121">
        <f t="shared" si="62"/>
        <v>180.98661138888889</v>
      </c>
      <c r="S102" s="125">
        <f t="shared" si="63"/>
        <v>6.3345313986111114</v>
      </c>
    </row>
    <row r="103" spans="1:19" x14ac:dyDescent="0.3">
      <c r="A103" s="2" t="s">
        <v>52</v>
      </c>
      <c r="B103" s="2" t="s">
        <v>132</v>
      </c>
      <c r="C103" s="145">
        <v>248</v>
      </c>
      <c r="D103" s="96">
        <f t="shared" si="52"/>
        <v>191.38162891250002</v>
      </c>
      <c r="E103" s="142">
        <f t="shared" si="38"/>
        <v>22.829988341733863</v>
      </c>
      <c r="F103" s="112">
        <f t="shared" si="53"/>
        <v>273.4023270178572</v>
      </c>
      <c r="G103" s="116">
        <f t="shared" si="54"/>
        <v>255.17550521666669</v>
      </c>
      <c r="H103" s="108">
        <f t="shared" si="55"/>
        <v>239.22703614062502</v>
      </c>
      <c r="I103" s="104">
        <f t="shared" si="56"/>
        <v>225.15485754411768</v>
      </c>
      <c r="J103" s="100">
        <f t="shared" si="57"/>
        <v>212.64625434722223</v>
      </c>
      <c r="K103" s="88">
        <f>'Part Pricing'!B80</f>
        <v>8.49</v>
      </c>
      <c r="L103" s="88">
        <f t="shared" si="58"/>
        <v>0.7110375000000001</v>
      </c>
      <c r="M103" s="90">
        <f t="shared" si="59"/>
        <v>9.2010375</v>
      </c>
      <c r="N103" s="90">
        <v>0</v>
      </c>
      <c r="O103" s="51">
        <v>1</v>
      </c>
      <c r="P103" s="93">
        <f t="shared" si="60"/>
        <v>175.70874888888889</v>
      </c>
      <c r="Q103" s="93">
        <f t="shared" si="61"/>
        <v>175.70874888888889</v>
      </c>
      <c r="R103" s="121">
        <f t="shared" si="62"/>
        <v>184.9097863888889</v>
      </c>
      <c r="S103" s="125">
        <f t="shared" si="63"/>
        <v>6.4718425236111123</v>
      </c>
    </row>
    <row r="104" spans="1:19" x14ac:dyDescent="0.3">
      <c r="A104" s="2" t="s">
        <v>52</v>
      </c>
      <c r="B104" s="2" t="s">
        <v>133</v>
      </c>
      <c r="C104" s="145">
        <v>288</v>
      </c>
      <c r="D104" s="96">
        <f t="shared" si="52"/>
        <v>197.69669435</v>
      </c>
      <c r="E104" s="142">
        <f t="shared" si="38"/>
        <v>31.355314461805555</v>
      </c>
      <c r="F104" s="112">
        <f t="shared" si="53"/>
        <v>282.42384907142861</v>
      </c>
      <c r="G104" s="116">
        <f t="shared" si="54"/>
        <v>263.59559246666669</v>
      </c>
      <c r="H104" s="108">
        <f t="shared" si="55"/>
        <v>247.12086793749998</v>
      </c>
      <c r="I104" s="104">
        <f t="shared" si="56"/>
        <v>232.58434629411767</v>
      </c>
      <c r="J104" s="100">
        <f t="shared" si="57"/>
        <v>219.66299372222221</v>
      </c>
      <c r="K104" s="88">
        <f>'Part Combo'!D109</f>
        <v>14.120000000000001</v>
      </c>
      <c r="L104" s="88">
        <f t="shared" si="58"/>
        <v>1.1825500000000002</v>
      </c>
      <c r="M104" s="90">
        <f t="shared" si="59"/>
        <v>15.302550000000002</v>
      </c>
      <c r="N104" s="90">
        <v>0</v>
      </c>
      <c r="O104" s="51">
        <v>1</v>
      </c>
      <c r="P104" s="93">
        <f t="shared" si="60"/>
        <v>175.70874888888889</v>
      </c>
      <c r="Q104" s="93">
        <f t="shared" si="61"/>
        <v>175.70874888888889</v>
      </c>
      <c r="R104" s="121">
        <f t="shared" si="62"/>
        <v>191.01129888888889</v>
      </c>
      <c r="S104" s="125">
        <f t="shared" si="63"/>
        <v>6.6853954611111117</v>
      </c>
    </row>
    <row r="105" spans="1:19" x14ac:dyDescent="0.3">
      <c r="A105" s="4" t="s">
        <v>39</v>
      </c>
      <c r="B105" s="2"/>
      <c r="C105" s="145"/>
      <c r="D105" s="94" t="s">
        <v>147</v>
      </c>
      <c r="E105" s="142"/>
      <c r="F105" s="110" t="s">
        <v>459</v>
      </c>
      <c r="G105" s="114" t="s">
        <v>490</v>
      </c>
      <c r="H105" s="106" t="s">
        <v>489</v>
      </c>
      <c r="I105" s="102" t="s">
        <v>491</v>
      </c>
      <c r="J105" s="98" t="s">
        <v>488</v>
      </c>
      <c r="K105" s="88" t="s">
        <v>457</v>
      </c>
      <c r="L105" s="88" t="s">
        <v>454</v>
      </c>
      <c r="M105" s="90" t="s">
        <v>456</v>
      </c>
      <c r="N105" s="90"/>
      <c r="O105" s="51" t="s">
        <v>146</v>
      </c>
      <c r="P105" s="51" t="s">
        <v>453</v>
      </c>
      <c r="Q105" s="51" t="s">
        <v>458</v>
      </c>
      <c r="R105" s="119" t="s">
        <v>455</v>
      </c>
      <c r="S105" s="123" t="s">
        <v>492</v>
      </c>
    </row>
    <row r="106" spans="1:19" x14ac:dyDescent="0.3">
      <c r="A106" s="2" t="s">
        <v>39</v>
      </c>
      <c r="B106" s="2" t="s">
        <v>40</v>
      </c>
      <c r="C106" s="145">
        <v>228</v>
      </c>
      <c r="D106" s="96">
        <f t="shared" ref="D106:D111" si="64">R106+S106</f>
        <v>181.85855509999999</v>
      </c>
      <c r="E106" s="142">
        <f t="shared" si="38"/>
        <v>20.237475833333338</v>
      </c>
      <c r="F106" s="112">
        <f t="shared" ref="F106:F111" si="65">D106/0.7</f>
        <v>259.79793585714287</v>
      </c>
      <c r="G106" s="116">
        <f t="shared" ref="G106:G111" si="66">D106/0.75</f>
        <v>242.47807346666664</v>
      </c>
      <c r="H106" s="108">
        <f t="shared" ref="H106:H111" si="67">D106/0.8</f>
        <v>227.32319387499999</v>
      </c>
      <c r="I106" s="104">
        <f t="shared" ref="I106:I111" si="68">D106/0.85</f>
        <v>213.95124129411764</v>
      </c>
      <c r="J106" s="100">
        <f t="shared" ref="J106:J111" si="69">D106/0.9</f>
        <v>202.0650612222222</v>
      </c>
      <c r="K106" s="88">
        <v>0</v>
      </c>
      <c r="L106" s="88">
        <f t="shared" ref="L106:L111" si="70">K106*0.08375</f>
        <v>0</v>
      </c>
      <c r="M106" s="90">
        <f t="shared" ref="M106:M111" si="71">K106+L106</f>
        <v>0</v>
      </c>
      <c r="N106" s="90">
        <v>0</v>
      </c>
      <c r="O106" s="51">
        <v>1</v>
      </c>
      <c r="P106" s="93">
        <f t="shared" ref="P106:P111" si="72">P2</f>
        <v>175.70874888888889</v>
      </c>
      <c r="Q106" s="93">
        <f t="shared" ref="Q106:Q111" si="73">(O106*P106)+N106</f>
        <v>175.70874888888889</v>
      </c>
      <c r="R106" s="121">
        <f t="shared" ref="R106:R111" si="74">M106+Q106</f>
        <v>175.70874888888889</v>
      </c>
      <c r="S106" s="125">
        <f t="shared" ref="S106:S111" si="75">R106*0.035</f>
        <v>6.1498062111111116</v>
      </c>
    </row>
    <row r="107" spans="1:19" x14ac:dyDescent="0.3">
      <c r="A107" s="2" t="s">
        <v>39</v>
      </c>
      <c r="B107" s="2" t="s">
        <v>396</v>
      </c>
      <c r="C107" s="145">
        <v>288</v>
      </c>
      <c r="D107" s="96">
        <f t="shared" si="64"/>
        <v>181.85855509999999</v>
      </c>
      <c r="E107" s="142">
        <f t="shared" si="38"/>
        <v>36.854668368055563</v>
      </c>
      <c r="F107" s="112">
        <f t="shared" si="65"/>
        <v>259.79793585714287</v>
      </c>
      <c r="G107" s="116">
        <f t="shared" si="66"/>
        <v>242.47807346666664</v>
      </c>
      <c r="H107" s="108">
        <f t="shared" si="67"/>
        <v>227.32319387499999</v>
      </c>
      <c r="I107" s="104">
        <f t="shared" si="68"/>
        <v>213.95124129411764</v>
      </c>
      <c r="J107" s="100">
        <f t="shared" si="69"/>
        <v>202.0650612222222</v>
      </c>
      <c r="K107" s="88">
        <v>0</v>
      </c>
      <c r="L107" s="88">
        <f t="shared" si="70"/>
        <v>0</v>
      </c>
      <c r="M107" s="90">
        <f t="shared" si="71"/>
        <v>0</v>
      </c>
      <c r="N107" s="90">
        <v>0</v>
      </c>
      <c r="O107" s="51">
        <v>1</v>
      </c>
      <c r="P107" s="93">
        <f t="shared" si="72"/>
        <v>175.70874888888889</v>
      </c>
      <c r="Q107" s="93">
        <f t="shared" si="73"/>
        <v>175.70874888888889</v>
      </c>
      <c r="R107" s="121">
        <f t="shared" si="74"/>
        <v>175.70874888888889</v>
      </c>
      <c r="S107" s="125">
        <f t="shared" si="75"/>
        <v>6.1498062111111116</v>
      </c>
    </row>
    <row r="108" spans="1:19" x14ac:dyDescent="0.3">
      <c r="A108" s="2" t="s">
        <v>39</v>
      </c>
      <c r="B108" s="2" t="s">
        <v>42</v>
      </c>
      <c r="C108" s="145">
        <v>248</v>
      </c>
      <c r="D108" s="96">
        <f t="shared" si="64"/>
        <v>181.85855509999999</v>
      </c>
      <c r="E108" s="142">
        <f t="shared" si="38"/>
        <v>26.669937459677424</v>
      </c>
      <c r="F108" s="112">
        <f t="shared" si="65"/>
        <v>259.79793585714287</v>
      </c>
      <c r="G108" s="116">
        <f t="shared" si="66"/>
        <v>242.47807346666664</v>
      </c>
      <c r="H108" s="108">
        <f t="shared" si="67"/>
        <v>227.32319387499999</v>
      </c>
      <c r="I108" s="104">
        <f t="shared" si="68"/>
        <v>213.95124129411764</v>
      </c>
      <c r="J108" s="100">
        <f t="shared" si="69"/>
        <v>202.0650612222222</v>
      </c>
      <c r="K108" s="88">
        <v>0</v>
      </c>
      <c r="L108" s="88">
        <f t="shared" si="70"/>
        <v>0</v>
      </c>
      <c r="M108" s="90">
        <f t="shared" si="71"/>
        <v>0</v>
      </c>
      <c r="N108" s="90">
        <v>0</v>
      </c>
      <c r="O108" s="51">
        <v>1</v>
      </c>
      <c r="P108" s="93">
        <f t="shared" si="72"/>
        <v>175.70874888888889</v>
      </c>
      <c r="Q108" s="93">
        <f t="shared" si="73"/>
        <v>175.70874888888889</v>
      </c>
      <c r="R108" s="121">
        <f t="shared" si="74"/>
        <v>175.70874888888889</v>
      </c>
      <c r="S108" s="125">
        <f t="shared" si="75"/>
        <v>6.1498062111111116</v>
      </c>
    </row>
    <row r="109" spans="1:19" x14ac:dyDescent="0.3">
      <c r="A109" s="2" t="s">
        <v>39</v>
      </c>
      <c r="B109" s="2" t="s">
        <v>47</v>
      </c>
      <c r="C109" s="145">
        <v>608</v>
      </c>
      <c r="D109" s="96">
        <f t="shared" si="64"/>
        <v>181.85855509999999</v>
      </c>
      <c r="E109" s="142">
        <f t="shared" si="38"/>
        <v>70.089053437499999</v>
      </c>
      <c r="F109" s="112">
        <f t="shared" si="65"/>
        <v>259.79793585714287</v>
      </c>
      <c r="G109" s="116">
        <f t="shared" si="66"/>
        <v>242.47807346666664</v>
      </c>
      <c r="H109" s="108">
        <f t="shared" si="67"/>
        <v>227.32319387499999</v>
      </c>
      <c r="I109" s="104">
        <f t="shared" si="68"/>
        <v>213.95124129411764</v>
      </c>
      <c r="J109" s="100">
        <f t="shared" si="69"/>
        <v>202.0650612222222</v>
      </c>
      <c r="K109" s="88">
        <v>0</v>
      </c>
      <c r="L109" s="88">
        <f t="shared" si="70"/>
        <v>0</v>
      </c>
      <c r="M109" s="90">
        <f t="shared" si="71"/>
        <v>0</v>
      </c>
      <c r="N109" s="90">
        <v>0</v>
      </c>
      <c r="O109" s="51">
        <v>1</v>
      </c>
      <c r="P109" s="93">
        <f t="shared" si="72"/>
        <v>175.70874888888889</v>
      </c>
      <c r="Q109" s="93">
        <f t="shared" si="73"/>
        <v>175.70874888888889</v>
      </c>
      <c r="R109" s="121">
        <f t="shared" si="74"/>
        <v>175.70874888888889</v>
      </c>
      <c r="S109" s="125">
        <f t="shared" si="75"/>
        <v>6.1498062111111116</v>
      </c>
    </row>
    <row r="110" spans="1:19" x14ac:dyDescent="0.3">
      <c r="A110" s="2" t="s">
        <v>39</v>
      </c>
      <c r="B110" s="2" t="s">
        <v>50</v>
      </c>
      <c r="C110" s="145">
        <v>458</v>
      </c>
      <c r="D110" s="96">
        <f t="shared" si="64"/>
        <v>363.71711019999998</v>
      </c>
      <c r="E110" s="142">
        <f t="shared" si="38"/>
        <v>20.585783799126641</v>
      </c>
      <c r="F110" s="112">
        <f t="shared" si="65"/>
        <v>519.59587171428575</v>
      </c>
      <c r="G110" s="116">
        <f t="shared" si="66"/>
        <v>484.95614693333329</v>
      </c>
      <c r="H110" s="108">
        <f t="shared" si="67"/>
        <v>454.64638774999997</v>
      </c>
      <c r="I110" s="104">
        <f t="shared" si="68"/>
        <v>427.90248258823527</v>
      </c>
      <c r="J110" s="100">
        <f t="shared" si="69"/>
        <v>404.1301224444444</v>
      </c>
      <c r="K110" s="88">
        <v>0</v>
      </c>
      <c r="L110" s="88">
        <f t="shared" si="70"/>
        <v>0</v>
      </c>
      <c r="M110" s="90">
        <f t="shared" si="71"/>
        <v>0</v>
      </c>
      <c r="N110" s="90">
        <v>0</v>
      </c>
      <c r="O110" s="51">
        <v>2</v>
      </c>
      <c r="P110" s="93">
        <f t="shared" si="72"/>
        <v>175.70874888888889</v>
      </c>
      <c r="Q110" s="93">
        <f t="shared" si="73"/>
        <v>351.41749777777778</v>
      </c>
      <c r="R110" s="121">
        <f t="shared" si="74"/>
        <v>351.41749777777778</v>
      </c>
      <c r="S110" s="125">
        <f t="shared" si="75"/>
        <v>12.299612422222223</v>
      </c>
    </row>
    <row r="111" spans="1:19" x14ac:dyDescent="0.3">
      <c r="A111" s="2" t="s">
        <v>39</v>
      </c>
      <c r="B111" s="2" t="s">
        <v>143</v>
      </c>
      <c r="C111" s="145">
        <v>228</v>
      </c>
      <c r="D111" s="96">
        <f t="shared" si="64"/>
        <v>181.85855509999999</v>
      </c>
      <c r="E111" s="142">
        <f t="shared" si="38"/>
        <v>20.237475833333338</v>
      </c>
      <c r="F111" s="112">
        <f t="shared" si="65"/>
        <v>259.79793585714287</v>
      </c>
      <c r="G111" s="116">
        <f t="shared" si="66"/>
        <v>242.47807346666664</v>
      </c>
      <c r="H111" s="108">
        <f t="shared" si="67"/>
        <v>227.32319387499999</v>
      </c>
      <c r="I111" s="104">
        <f t="shared" si="68"/>
        <v>213.95124129411764</v>
      </c>
      <c r="J111" s="100">
        <f t="shared" si="69"/>
        <v>202.0650612222222</v>
      </c>
      <c r="K111" s="88">
        <v>0</v>
      </c>
      <c r="L111" s="88">
        <f t="shared" si="70"/>
        <v>0</v>
      </c>
      <c r="M111" s="90">
        <f t="shared" si="71"/>
        <v>0</v>
      </c>
      <c r="N111" s="90">
        <v>0</v>
      </c>
      <c r="O111" s="51">
        <v>1</v>
      </c>
      <c r="P111" s="93">
        <f t="shared" si="72"/>
        <v>175.70874888888889</v>
      </c>
      <c r="Q111" s="93">
        <f t="shared" si="73"/>
        <v>175.70874888888889</v>
      </c>
      <c r="R111" s="121">
        <f t="shared" si="74"/>
        <v>175.70874888888889</v>
      </c>
      <c r="S111" s="125">
        <f t="shared" si="75"/>
        <v>6.1498062111111116</v>
      </c>
    </row>
    <row r="112" spans="1:19" x14ac:dyDescent="0.3">
      <c r="A112" s="4" t="s">
        <v>33</v>
      </c>
      <c r="B112" s="2"/>
      <c r="C112" s="145"/>
      <c r="D112" s="94" t="s">
        <v>147</v>
      </c>
      <c r="E112" s="142"/>
      <c r="F112" s="110" t="s">
        <v>459</v>
      </c>
      <c r="G112" s="114" t="s">
        <v>490</v>
      </c>
      <c r="H112" s="106" t="s">
        <v>489</v>
      </c>
      <c r="I112" s="102" t="s">
        <v>491</v>
      </c>
      <c r="J112" s="98" t="s">
        <v>488</v>
      </c>
      <c r="K112" s="88" t="s">
        <v>457</v>
      </c>
      <c r="L112" s="88" t="s">
        <v>454</v>
      </c>
      <c r="M112" s="90" t="s">
        <v>456</v>
      </c>
      <c r="N112" s="90" t="s">
        <v>148</v>
      </c>
      <c r="O112" s="51" t="s">
        <v>146</v>
      </c>
      <c r="P112" s="51" t="s">
        <v>453</v>
      </c>
      <c r="Q112" s="51" t="s">
        <v>458</v>
      </c>
      <c r="R112" s="119" t="s">
        <v>455</v>
      </c>
      <c r="S112" s="123" t="s">
        <v>492</v>
      </c>
    </row>
    <row r="113" spans="1:19" x14ac:dyDescent="0.3">
      <c r="A113" s="2" t="s">
        <v>33</v>
      </c>
      <c r="B113" s="2" t="s">
        <v>34</v>
      </c>
      <c r="C113" s="145">
        <v>4298</v>
      </c>
      <c r="D113" s="96">
        <f>R113+S113</f>
        <v>2915.0687444031246</v>
      </c>
      <c r="E113" s="142">
        <f t="shared" si="38"/>
        <v>32.176157645343771</v>
      </c>
      <c r="F113" s="112">
        <f>D113/0.7</f>
        <v>4164.3839205758923</v>
      </c>
      <c r="G113" s="116">
        <f>D113/0.75</f>
        <v>3886.7583258708328</v>
      </c>
      <c r="H113" s="108">
        <f>D113/0.8</f>
        <v>3643.8359305039057</v>
      </c>
      <c r="I113" s="104">
        <f>D113/0.85</f>
        <v>3429.4926404742641</v>
      </c>
      <c r="J113" s="100">
        <f>D113/0.9</f>
        <v>3238.9652715590273</v>
      </c>
      <c r="K113" s="128">
        <f>'Part Combo'!D79</f>
        <v>563.61850000000004</v>
      </c>
      <c r="L113" s="88">
        <f>K113*0.08375</f>
        <v>47.203049375000006</v>
      </c>
      <c r="M113" s="90">
        <f>K113+L113</f>
        <v>610.82154937500002</v>
      </c>
      <c r="N113" s="90">
        <v>800</v>
      </c>
      <c r="O113" s="51">
        <v>8</v>
      </c>
      <c r="P113" s="93">
        <f>P2</f>
        <v>175.70874888888889</v>
      </c>
      <c r="Q113" s="93">
        <f>(O113*P113)+N113</f>
        <v>2205.6699911111109</v>
      </c>
      <c r="R113" s="121">
        <f>M113+Q113</f>
        <v>2816.4915404861108</v>
      </c>
      <c r="S113" s="125">
        <f>R113*0.035</f>
        <v>98.57720391701389</v>
      </c>
    </row>
    <row r="114" spans="1:19" x14ac:dyDescent="0.3">
      <c r="A114" s="2" t="s">
        <v>33</v>
      </c>
      <c r="B114" s="2" t="s">
        <v>48</v>
      </c>
      <c r="C114" s="145">
        <v>2268</v>
      </c>
      <c r="D114" s="96">
        <f>R114+S114</f>
        <v>1612.2964042374999</v>
      </c>
      <c r="E114" s="142">
        <f t="shared" si="38"/>
        <v>28.911093287588187</v>
      </c>
      <c r="F114" s="112">
        <f>D114/0.7</f>
        <v>2303.2805774821427</v>
      </c>
      <c r="G114" s="116">
        <f>D114/0.75</f>
        <v>2149.7285389833332</v>
      </c>
      <c r="H114" s="108">
        <f>D114/0.8</f>
        <v>2015.3705052968749</v>
      </c>
      <c r="I114" s="104">
        <f>D114/0.85</f>
        <v>1896.8192991029412</v>
      </c>
      <c r="J114" s="100">
        <f>D114/0.9</f>
        <v>1791.4404491527775</v>
      </c>
      <c r="K114" s="128">
        <f>'Part Combo'!D64</f>
        <v>140.35</v>
      </c>
      <c r="L114" s="88">
        <f>K114*0.08375</f>
        <v>11.754312500000001</v>
      </c>
      <c r="M114" s="90">
        <f>K114+L114</f>
        <v>152.10431249999999</v>
      </c>
      <c r="N114" s="90">
        <v>0</v>
      </c>
      <c r="O114" s="51">
        <v>8</v>
      </c>
      <c r="P114" s="93">
        <f>P3</f>
        <v>175.70874888888889</v>
      </c>
      <c r="Q114" s="93">
        <f>(O114*P114)+N114</f>
        <v>1405.6699911111111</v>
      </c>
      <c r="R114" s="121">
        <f>M114+Q114</f>
        <v>1557.774303611111</v>
      </c>
      <c r="S114" s="125">
        <f>R114*0.035</f>
        <v>54.522100626388891</v>
      </c>
    </row>
    <row r="115" spans="1:19" x14ac:dyDescent="0.3">
      <c r="A115" s="2" t="s">
        <v>33</v>
      </c>
      <c r="B115" s="2" t="s">
        <v>49</v>
      </c>
      <c r="C115" s="145">
        <v>5708</v>
      </c>
      <c r="D115" s="96">
        <f>R115+S115</f>
        <v>5274.0873367249997</v>
      </c>
      <c r="E115" s="142">
        <f t="shared" si="38"/>
        <v>7.6018336242992355</v>
      </c>
      <c r="F115" s="112">
        <f>D115/0.7</f>
        <v>7534.4104810357139</v>
      </c>
      <c r="G115" s="116">
        <f>D115/0.75</f>
        <v>7032.1164489666662</v>
      </c>
      <c r="H115" s="108">
        <f>D115/0.8</f>
        <v>6592.6091709062493</v>
      </c>
      <c r="I115" s="104">
        <f>D115/0.85</f>
        <v>6204.8086314411767</v>
      </c>
      <c r="J115" s="100">
        <f>D115/0.9</f>
        <v>5860.0970408055555</v>
      </c>
      <c r="K115" s="128">
        <f>'Part Combo'!D94</f>
        <v>723.78</v>
      </c>
      <c r="L115" s="88">
        <f>K115*0.08375</f>
        <v>60.616575000000005</v>
      </c>
      <c r="M115" s="90">
        <f>K115+L115</f>
        <v>784.39657499999998</v>
      </c>
      <c r="N115" s="90">
        <v>1500</v>
      </c>
      <c r="O115" s="51">
        <v>16</v>
      </c>
      <c r="P115" s="93">
        <f>P4</f>
        <v>175.70874888888889</v>
      </c>
      <c r="Q115" s="93">
        <f>(O115*P115)+N115</f>
        <v>4311.3399822222218</v>
      </c>
      <c r="R115" s="121">
        <f>M115+Q115</f>
        <v>5095.7365572222216</v>
      </c>
      <c r="S115" s="125">
        <f>R115*0.035</f>
        <v>178.35077950277778</v>
      </c>
    </row>
    <row r="116" spans="1:19" x14ac:dyDescent="0.3">
      <c r="A116" s="2" t="s">
        <v>393</v>
      </c>
      <c r="B116" s="2" t="s">
        <v>394</v>
      </c>
      <c r="C116" s="145">
        <v>398</v>
      </c>
      <c r="D116" s="96">
        <f>R116+S116</f>
        <v>272.78783265000004</v>
      </c>
      <c r="E116" s="142">
        <f t="shared" si="38"/>
        <v>31.460343555276371</v>
      </c>
      <c r="F116" s="112">
        <f>D116/0.7</f>
        <v>389.69690378571437</v>
      </c>
      <c r="G116" s="116">
        <f>D116/0.75</f>
        <v>363.71711020000004</v>
      </c>
      <c r="H116" s="108">
        <f>D116/0.8</f>
        <v>340.98479081250002</v>
      </c>
      <c r="I116" s="104">
        <f>D116/0.85</f>
        <v>320.92686194117653</v>
      </c>
      <c r="J116" s="100">
        <f>D116/0.9</f>
        <v>303.09759183333335</v>
      </c>
      <c r="K116" s="88">
        <v>0</v>
      </c>
      <c r="L116" s="88">
        <f>K116*0.08375</f>
        <v>0</v>
      </c>
      <c r="M116" s="90">
        <f>K116+L116</f>
        <v>0</v>
      </c>
      <c r="N116" s="90">
        <v>0</v>
      </c>
      <c r="O116" s="51">
        <v>1.5</v>
      </c>
      <c r="P116" s="93">
        <f>P5</f>
        <v>175.70874888888889</v>
      </c>
      <c r="Q116" s="93">
        <f>(O116*P116)+N116</f>
        <v>263.56312333333335</v>
      </c>
      <c r="R116" s="121">
        <f>M116+Q116</f>
        <v>263.56312333333335</v>
      </c>
      <c r="S116" s="125">
        <f>R116*0.035</f>
        <v>9.2247093166666687</v>
      </c>
    </row>
    <row r="117" spans="1:19" x14ac:dyDescent="0.3">
      <c r="A117" s="4" t="s">
        <v>13</v>
      </c>
      <c r="B117" s="2"/>
      <c r="C117" s="145"/>
      <c r="D117" s="94" t="s">
        <v>147</v>
      </c>
      <c r="E117" s="142"/>
      <c r="F117" s="110" t="s">
        <v>459</v>
      </c>
      <c r="G117" s="114" t="s">
        <v>490</v>
      </c>
      <c r="H117" s="106" t="s">
        <v>489</v>
      </c>
      <c r="I117" s="102" t="s">
        <v>491</v>
      </c>
      <c r="J117" s="98" t="s">
        <v>488</v>
      </c>
      <c r="K117" s="88" t="s">
        <v>457</v>
      </c>
      <c r="L117" s="88" t="s">
        <v>454</v>
      </c>
      <c r="M117" s="90" t="s">
        <v>456</v>
      </c>
      <c r="N117" s="90" t="s">
        <v>148</v>
      </c>
      <c r="O117" s="51" t="s">
        <v>146</v>
      </c>
      <c r="P117" s="51" t="s">
        <v>453</v>
      </c>
      <c r="Q117" s="51" t="s">
        <v>458</v>
      </c>
      <c r="R117" s="119" t="s">
        <v>455</v>
      </c>
      <c r="S117" s="123" t="s">
        <v>492</v>
      </c>
    </row>
    <row r="118" spans="1:19" x14ac:dyDescent="0.3">
      <c r="A118" s="2" t="s">
        <v>13</v>
      </c>
      <c r="B118" s="2" t="s">
        <v>14</v>
      </c>
      <c r="C118" s="145">
        <v>288</v>
      </c>
      <c r="D118" s="96">
        <f t="shared" ref="D118:D128" si="76">R118+S118</f>
        <v>196.7656989125</v>
      </c>
      <c r="E118" s="142">
        <f t="shared" si="38"/>
        <v>31.678576766493055</v>
      </c>
      <c r="F118" s="112">
        <f t="shared" ref="F118:F128" si="77">D118/0.7</f>
        <v>281.09385558928574</v>
      </c>
      <c r="G118" s="116">
        <f t="shared" ref="G118:G128" si="78">D118/0.75</f>
        <v>262.35426521666665</v>
      </c>
      <c r="H118" s="108">
        <f t="shared" ref="H118:H128" si="79">D118/0.8</f>
        <v>245.95712364062499</v>
      </c>
      <c r="I118" s="104">
        <f t="shared" ref="I118:I128" si="80">D118/0.85</f>
        <v>231.48905754411766</v>
      </c>
      <c r="J118" s="100">
        <f t="shared" ref="J118:J128" si="81">D118/0.9</f>
        <v>218.62855434722221</v>
      </c>
      <c r="K118" s="88">
        <f>'Part Pricing'!B188</f>
        <v>13.29</v>
      </c>
      <c r="L118" s="88">
        <f t="shared" ref="L118:L128" si="82">K118*0.08375</f>
        <v>1.1130374999999999</v>
      </c>
      <c r="M118" s="90">
        <f t="shared" ref="M118:M128" si="83">K118+L118</f>
        <v>14.4030375</v>
      </c>
      <c r="N118" s="90">
        <v>0</v>
      </c>
      <c r="O118" s="51">
        <v>1</v>
      </c>
      <c r="P118" s="93">
        <f t="shared" ref="P118:P127" si="84">P2</f>
        <v>175.70874888888889</v>
      </c>
      <c r="Q118" s="93">
        <f>(O118*P118)+N118</f>
        <v>175.70874888888889</v>
      </c>
      <c r="R118" s="121">
        <f t="shared" ref="R118:R128" si="85">M118+Q118</f>
        <v>190.1117863888889</v>
      </c>
      <c r="S118" s="125">
        <f>R118*0.035</f>
        <v>6.6539125236111119</v>
      </c>
    </row>
    <row r="119" spans="1:19" x14ac:dyDescent="0.3">
      <c r="A119" s="2" t="s">
        <v>13</v>
      </c>
      <c r="B119" s="2" t="s">
        <v>15</v>
      </c>
      <c r="C119" s="145">
        <v>318</v>
      </c>
      <c r="D119" s="96">
        <f t="shared" si="76"/>
        <v>210.12492259999999</v>
      </c>
      <c r="E119" s="142">
        <f t="shared" si="38"/>
        <v>33.922980314465413</v>
      </c>
      <c r="F119" s="112">
        <f t="shared" si="77"/>
        <v>300.17846085714285</v>
      </c>
      <c r="G119" s="116">
        <f t="shared" si="78"/>
        <v>280.16656346666667</v>
      </c>
      <c r="H119" s="108">
        <f t="shared" si="79"/>
        <v>262.65615324999999</v>
      </c>
      <c r="I119" s="104">
        <f t="shared" si="80"/>
        <v>247.20579129411763</v>
      </c>
      <c r="J119" s="100">
        <f t="shared" si="81"/>
        <v>233.47213622222222</v>
      </c>
      <c r="K119" s="88">
        <f>'Part Pricing'!B190</f>
        <v>25.2</v>
      </c>
      <c r="L119" s="88">
        <f t="shared" si="82"/>
        <v>2.1105</v>
      </c>
      <c r="M119" s="90">
        <f t="shared" si="83"/>
        <v>27.310499999999998</v>
      </c>
      <c r="N119" s="90">
        <v>0</v>
      </c>
      <c r="O119" s="51">
        <v>1</v>
      </c>
      <c r="P119" s="93">
        <f t="shared" si="84"/>
        <v>175.70874888888889</v>
      </c>
      <c r="Q119" s="93">
        <f t="shared" ref="Q119:Q128" si="86">(O119*P119)+N119</f>
        <v>175.70874888888889</v>
      </c>
      <c r="R119" s="121">
        <f t="shared" si="85"/>
        <v>203.01924888888888</v>
      </c>
      <c r="S119" s="125">
        <f t="shared" ref="S119:S128" si="87">R119*0.035</f>
        <v>7.1056737111111117</v>
      </c>
    </row>
    <row r="120" spans="1:19" x14ac:dyDescent="0.3">
      <c r="A120" s="2" t="s">
        <v>13</v>
      </c>
      <c r="B120" s="2" t="s">
        <v>16</v>
      </c>
      <c r="C120" s="145">
        <v>238</v>
      </c>
      <c r="D120" s="96">
        <f t="shared" si="76"/>
        <v>187.23140828749999</v>
      </c>
      <c r="E120" s="142">
        <f t="shared" si="38"/>
        <v>21.331341055672272</v>
      </c>
      <c r="F120" s="112">
        <f t="shared" si="77"/>
        <v>267.47344041071426</v>
      </c>
      <c r="G120" s="116">
        <f t="shared" si="78"/>
        <v>249.64187771666664</v>
      </c>
      <c r="H120" s="108">
        <f t="shared" si="79"/>
        <v>234.03926035937496</v>
      </c>
      <c r="I120" s="104">
        <f t="shared" si="80"/>
        <v>220.27224504411762</v>
      </c>
      <c r="J120" s="100">
        <f t="shared" si="81"/>
        <v>208.0348980972222</v>
      </c>
      <c r="K120" s="88">
        <f>'Part Pricing'!B191</f>
        <v>4.79</v>
      </c>
      <c r="L120" s="88">
        <f t="shared" si="82"/>
        <v>0.40116250000000003</v>
      </c>
      <c r="M120" s="90">
        <f t="shared" si="83"/>
        <v>5.1911624999999999</v>
      </c>
      <c r="N120" s="90">
        <v>0</v>
      </c>
      <c r="O120" s="51">
        <v>1</v>
      </c>
      <c r="P120" s="93">
        <f t="shared" si="84"/>
        <v>175.70874888888889</v>
      </c>
      <c r="Q120" s="93">
        <f t="shared" si="86"/>
        <v>175.70874888888889</v>
      </c>
      <c r="R120" s="121">
        <f t="shared" si="85"/>
        <v>180.89991138888888</v>
      </c>
      <c r="S120" s="125">
        <f t="shared" si="87"/>
        <v>6.3314968986111113</v>
      </c>
    </row>
    <row r="121" spans="1:19" x14ac:dyDescent="0.3">
      <c r="A121" s="2" t="s">
        <v>13</v>
      </c>
      <c r="B121" s="2" t="s">
        <v>17</v>
      </c>
      <c r="C121" s="145">
        <v>248</v>
      </c>
      <c r="D121" s="96">
        <f t="shared" si="76"/>
        <v>210.9325331</v>
      </c>
      <c r="E121" s="142">
        <f t="shared" si="38"/>
        <v>14.946559233870968</v>
      </c>
      <c r="F121" s="112">
        <f t="shared" si="77"/>
        <v>301.33219014285714</v>
      </c>
      <c r="G121" s="116">
        <f t="shared" si="78"/>
        <v>281.24337746666669</v>
      </c>
      <c r="H121" s="108">
        <f t="shared" si="79"/>
        <v>263.665666375</v>
      </c>
      <c r="I121" s="104">
        <f t="shared" si="80"/>
        <v>248.15592129411766</v>
      </c>
      <c r="J121" s="100">
        <f t="shared" si="81"/>
        <v>234.36948122222222</v>
      </c>
      <c r="K121" s="88">
        <f>'Part Pricing'!B192</f>
        <v>25.92</v>
      </c>
      <c r="L121" s="88">
        <f t="shared" si="82"/>
        <v>2.1708000000000003</v>
      </c>
      <c r="M121" s="90">
        <f t="shared" si="83"/>
        <v>28.090800000000002</v>
      </c>
      <c r="N121" s="90">
        <v>0</v>
      </c>
      <c r="O121" s="51">
        <v>1</v>
      </c>
      <c r="P121" s="93">
        <f t="shared" si="84"/>
        <v>175.70874888888889</v>
      </c>
      <c r="Q121" s="93">
        <f t="shared" si="86"/>
        <v>175.70874888888889</v>
      </c>
      <c r="R121" s="121">
        <f t="shared" si="85"/>
        <v>203.79954888888889</v>
      </c>
      <c r="S121" s="125">
        <f t="shared" si="87"/>
        <v>7.1329842111111121</v>
      </c>
    </row>
    <row r="122" spans="1:19" x14ac:dyDescent="0.3">
      <c r="A122" s="2" t="s">
        <v>13</v>
      </c>
      <c r="B122" s="2" t="s">
        <v>18</v>
      </c>
      <c r="C122" s="145">
        <v>458</v>
      </c>
      <c r="D122" s="96">
        <f t="shared" si="76"/>
        <v>263.06827759999999</v>
      </c>
      <c r="E122" s="142">
        <f t="shared" si="38"/>
        <v>42.56151144104804</v>
      </c>
      <c r="F122" s="112">
        <f t="shared" si="77"/>
        <v>375.81182514285717</v>
      </c>
      <c r="G122" s="116">
        <f t="shared" si="78"/>
        <v>350.75770346666667</v>
      </c>
      <c r="H122" s="108">
        <f t="shared" si="79"/>
        <v>328.83534699999996</v>
      </c>
      <c r="I122" s="104">
        <f t="shared" si="80"/>
        <v>309.49209129411764</v>
      </c>
      <c r="J122" s="100">
        <f t="shared" si="81"/>
        <v>292.2980862222222</v>
      </c>
      <c r="K122" s="88">
        <f>'Part Pricing'!B194</f>
        <v>72.400000000000006</v>
      </c>
      <c r="L122" s="88">
        <f t="shared" si="82"/>
        <v>6.0635000000000012</v>
      </c>
      <c r="M122" s="90">
        <f t="shared" si="83"/>
        <v>78.46350000000001</v>
      </c>
      <c r="N122" s="90">
        <v>0</v>
      </c>
      <c r="O122" s="51">
        <v>1</v>
      </c>
      <c r="P122" s="93">
        <f t="shared" si="84"/>
        <v>175.70874888888889</v>
      </c>
      <c r="Q122" s="93">
        <f t="shared" si="86"/>
        <v>175.70874888888889</v>
      </c>
      <c r="R122" s="121">
        <f t="shared" si="85"/>
        <v>254.1722488888889</v>
      </c>
      <c r="S122" s="125">
        <f t="shared" si="87"/>
        <v>8.8960287111111125</v>
      </c>
    </row>
    <row r="123" spans="1:19" x14ac:dyDescent="0.3">
      <c r="A123" s="2" t="s">
        <v>13</v>
      </c>
      <c r="B123" s="2" t="s">
        <v>19</v>
      </c>
      <c r="C123" s="145">
        <v>508</v>
      </c>
      <c r="D123" s="96">
        <f t="shared" si="76"/>
        <v>265.28920647500001</v>
      </c>
      <c r="E123" s="142">
        <f t="shared" si="38"/>
        <v>47.777715260826767</v>
      </c>
      <c r="F123" s="112">
        <f t="shared" si="77"/>
        <v>378.98458067857149</v>
      </c>
      <c r="G123" s="116">
        <f t="shared" si="78"/>
        <v>353.7189419666667</v>
      </c>
      <c r="H123" s="108">
        <f t="shared" si="79"/>
        <v>331.61150809374999</v>
      </c>
      <c r="I123" s="104">
        <f t="shared" si="80"/>
        <v>312.10494879411766</v>
      </c>
      <c r="J123" s="100">
        <f t="shared" si="81"/>
        <v>294.76578497222221</v>
      </c>
      <c r="K123" s="88">
        <f>'Part Pricing'!B196</f>
        <v>74.38</v>
      </c>
      <c r="L123" s="88">
        <f t="shared" si="82"/>
        <v>6.2293250000000002</v>
      </c>
      <c r="M123" s="90">
        <f t="shared" si="83"/>
        <v>80.609324999999998</v>
      </c>
      <c r="N123" s="90">
        <v>0</v>
      </c>
      <c r="O123" s="51">
        <v>1</v>
      </c>
      <c r="P123" s="93">
        <f t="shared" si="84"/>
        <v>175.70874888888889</v>
      </c>
      <c r="Q123" s="93">
        <f t="shared" si="86"/>
        <v>175.70874888888889</v>
      </c>
      <c r="R123" s="121">
        <f t="shared" si="85"/>
        <v>256.31807388888888</v>
      </c>
      <c r="S123" s="125">
        <f t="shared" si="87"/>
        <v>8.9711325861111106</v>
      </c>
    </row>
    <row r="124" spans="1:19" x14ac:dyDescent="0.3">
      <c r="A124" s="2" t="s">
        <v>13</v>
      </c>
      <c r="B124" s="2" t="s">
        <v>20</v>
      </c>
      <c r="C124" s="145">
        <v>608</v>
      </c>
      <c r="D124" s="96">
        <f t="shared" si="76"/>
        <v>181.85855509999999</v>
      </c>
      <c r="E124" s="142">
        <f t="shared" si="38"/>
        <v>70.089053437499999</v>
      </c>
      <c r="F124" s="112">
        <f t="shared" si="77"/>
        <v>259.79793585714287</v>
      </c>
      <c r="G124" s="116">
        <f t="shared" si="78"/>
        <v>242.47807346666664</v>
      </c>
      <c r="H124" s="108">
        <f t="shared" si="79"/>
        <v>227.32319387499999</v>
      </c>
      <c r="I124" s="104">
        <f t="shared" si="80"/>
        <v>213.95124129411764</v>
      </c>
      <c r="J124" s="100">
        <f t="shared" si="81"/>
        <v>202.0650612222222</v>
      </c>
      <c r="K124" s="88">
        <f>'Part Pricing'!C197</f>
        <v>0</v>
      </c>
      <c r="L124" s="88">
        <f t="shared" si="82"/>
        <v>0</v>
      </c>
      <c r="M124" s="90">
        <f t="shared" si="83"/>
        <v>0</v>
      </c>
      <c r="N124" s="90">
        <v>0</v>
      </c>
      <c r="O124" s="51">
        <v>1</v>
      </c>
      <c r="P124" s="93">
        <f t="shared" si="84"/>
        <v>175.70874888888889</v>
      </c>
      <c r="Q124" s="93">
        <f t="shared" si="86"/>
        <v>175.70874888888889</v>
      </c>
      <c r="R124" s="121">
        <f t="shared" si="85"/>
        <v>175.70874888888889</v>
      </c>
      <c r="S124" s="125">
        <f t="shared" si="87"/>
        <v>6.1498062111111116</v>
      </c>
    </row>
    <row r="125" spans="1:19" x14ac:dyDescent="0.3">
      <c r="A125" s="2" t="s">
        <v>13</v>
      </c>
      <c r="B125" s="2" t="s">
        <v>21</v>
      </c>
      <c r="C125" s="145">
        <v>438</v>
      </c>
      <c r="D125" s="96">
        <f t="shared" si="76"/>
        <v>267.88029016249999</v>
      </c>
      <c r="E125" s="142">
        <f t="shared" si="38"/>
        <v>38.840116401255706</v>
      </c>
      <c r="F125" s="112">
        <f t="shared" si="77"/>
        <v>382.68612880357142</v>
      </c>
      <c r="G125" s="116">
        <f t="shared" si="78"/>
        <v>357.17372021666665</v>
      </c>
      <c r="H125" s="108">
        <f t="shared" si="79"/>
        <v>334.85036270312497</v>
      </c>
      <c r="I125" s="104">
        <f t="shared" si="80"/>
        <v>315.15328254411764</v>
      </c>
      <c r="J125" s="100">
        <f t="shared" si="81"/>
        <v>297.64476684722223</v>
      </c>
      <c r="K125" s="88">
        <f>'Part Pricing'!B193</f>
        <v>76.69</v>
      </c>
      <c r="L125" s="88">
        <f t="shared" si="82"/>
        <v>6.4227875000000001</v>
      </c>
      <c r="M125" s="90">
        <f t="shared" si="83"/>
        <v>83.112787499999996</v>
      </c>
      <c r="N125" s="90">
        <v>0</v>
      </c>
      <c r="O125" s="51">
        <v>1</v>
      </c>
      <c r="P125" s="93">
        <f t="shared" si="84"/>
        <v>175.70874888888889</v>
      </c>
      <c r="Q125" s="93">
        <f t="shared" si="86"/>
        <v>175.70874888888889</v>
      </c>
      <c r="R125" s="121">
        <f t="shared" si="85"/>
        <v>258.82153638888889</v>
      </c>
      <c r="S125" s="125">
        <f t="shared" si="87"/>
        <v>9.0587537736111123</v>
      </c>
    </row>
    <row r="126" spans="1:19" x14ac:dyDescent="0.3">
      <c r="A126" s="2" t="s">
        <v>13</v>
      </c>
      <c r="B126" s="2" t="s">
        <v>22</v>
      </c>
      <c r="C126" s="145">
        <v>488</v>
      </c>
      <c r="D126" s="96">
        <f t="shared" si="76"/>
        <v>278.15489041249998</v>
      </c>
      <c r="E126" s="142">
        <f t="shared" si="38"/>
        <v>43.001047046618858</v>
      </c>
      <c r="F126" s="112">
        <f t="shared" si="77"/>
        <v>397.3641291607143</v>
      </c>
      <c r="G126" s="116">
        <f t="shared" si="78"/>
        <v>370.87318721666662</v>
      </c>
      <c r="H126" s="108">
        <f t="shared" si="79"/>
        <v>347.69361301562498</v>
      </c>
      <c r="I126" s="104">
        <f t="shared" si="80"/>
        <v>327.24104754411763</v>
      </c>
      <c r="J126" s="100">
        <f t="shared" si="81"/>
        <v>309.06098934722218</v>
      </c>
      <c r="K126" s="88">
        <f>'Part Pricing'!B195</f>
        <v>85.85</v>
      </c>
      <c r="L126" s="88">
        <f t="shared" si="82"/>
        <v>7.1899375000000001</v>
      </c>
      <c r="M126" s="90">
        <f t="shared" si="83"/>
        <v>93.039937499999994</v>
      </c>
      <c r="N126" s="90">
        <v>0</v>
      </c>
      <c r="O126" s="51">
        <v>1</v>
      </c>
      <c r="P126" s="93">
        <f t="shared" si="84"/>
        <v>175.70874888888889</v>
      </c>
      <c r="Q126" s="93">
        <f t="shared" si="86"/>
        <v>175.70874888888889</v>
      </c>
      <c r="R126" s="121">
        <f t="shared" si="85"/>
        <v>268.74868638888887</v>
      </c>
      <c r="S126" s="125">
        <f t="shared" si="87"/>
        <v>9.406204023611112</v>
      </c>
    </row>
    <row r="127" spans="1:19" x14ac:dyDescent="0.3">
      <c r="A127" s="2" t="s">
        <v>13</v>
      </c>
      <c r="B127" s="2" t="s">
        <v>88</v>
      </c>
      <c r="C127" s="145">
        <v>388</v>
      </c>
      <c r="D127" s="96">
        <f t="shared" si="76"/>
        <v>197.4611412875</v>
      </c>
      <c r="E127" s="142">
        <f t="shared" si="38"/>
        <v>49.107953276417526</v>
      </c>
      <c r="F127" s="112">
        <f t="shared" si="77"/>
        <v>282.0873446964286</v>
      </c>
      <c r="G127" s="116">
        <f t="shared" si="78"/>
        <v>263.28152171666665</v>
      </c>
      <c r="H127" s="108">
        <f t="shared" si="79"/>
        <v>246.82642660937498</v>
      </c>
      <c r="I127" s="104">
        <f t="shared" si="80"/>
        <v>232.30722504411764</v>
      </c>
      <c r="J127" s="100">
        <f t="shared" si="81"/>
        <v>219.40126809722221</v>
      </c>
      <c r="K127" s="128">
        <f>'Part Pricing'!B17</f>
        <v>13.91</v>
      </c>
      <c r="L127" s="88">
        <f t="shared" si="82"/>
        <v>1.1649625000000001</v>
      </c>
      <c r="M127" s="90">
        <f t="shared" si="83"/>
        <v>15.0749625</v>
      </c>
      <c r="N127" s="90">
        <v>0</v>
      </c>
      <c r="O127" s="51">
        <v>1</v>
      </c>
      <c r="P127" s="93">
        <f t="shared" si="84"/>
        <v>175.70874888888889</v>
      </c>
      <c r="Q127" s="93">
        <f t="shared" si="86"/>
        <v>175.70874888888889</v>
      </c>
      <c r="R127" s="121">
        <f t="shared" si="85"/>
        <v>190.78371138888889</v>
      </c>
      <c r="S127" s="125">
        <f t="shared" si="87"/>
        <v>6.6774298986111118</v>
      </c>
    </row>
    <row r="128" spans="1:19" x14ac:dyDescent="0.3">
      <c r="A128" s="2" t="s">
        <v>13</v>
      </c>
      <c r="B128" s="2" t="s">
        <v>37</v>
      </c>
      <c r="C128" s="145">
        <v>248</v>
      </c>
      <c r="D128" s="96">
        <f t="shared" si="76"/>
        <v>191.20215991250001</v>
      </c>
      <c r="E128" s="142">
        <f t="shared" ref="E128:E137" si="88">(C128-D128)/C128*100</f>
        <v>22.902354873991932</v>
      </c>
      <c r="F128" s="112">
        <f t="shared" si="77"/>
        <v>273.14594273214288</v>
      </c>
      <c r="G128" s="116">
        <f t="shared" si="78"/>
        <v>254.93621321666669</v>
      </c>
      <c r="H128" s="108">
        <f t="shared" si="79"/>
        <v>239.002699890625</v>
      </c>
      <c r="I128" s="104">
        <f t="shared" si="80"/>
        <v>224.94371754411767</v>
      </c>
      <c r="J128" s="100">
        <f t="shared" si="81"/>
        <v>212.44684434722222</v>
      </c>
      <c r="K128" s="88">
        <f>'Part Pricing'!B201</f>
        <v>8.33</v>
      </c>
      <c r="L128" s="88">
        <f t="shared" si="82"/>
        <v>0.69763750000000002</v>
      </c>
      <c r="M128" s="90">
        <f t="shared" si="83"/>
        <v>9.0276375000000009</v>
      </c>
      <c r="N128" s="90">
        <v>0</v>
      </c>
      <c r="O128" s="51">
        <v>1</v>
      </c>
      <c r="P128" s="93">
        <f>P13</f>
        <v>175.70874888888889</v>
      </c>
      <c r="Q128" s="93">
        <f t="shared" si="86"/>
        <v>175.70874888888889</v>
      </c>
      <c r="R128" s="121">
        <f t="shared" si="85"/>
        <v>184.73638638888889</v>
      </c>
      <c r="S128" s="125">
        <f t="shared" si="87"/>
        <v>6.4657735236111114</v>
      </c>
    </row>
    <row r="129" spans="1:19" x14ac:dyDescent="0.3">
      <c r="A129" s="4" t="s">
        <v>151</v>
      </c>
      <c r="B129" s="2"/>
      <c r="C129" s="145"/>
      <c r="D129" s="94" t="s">
        <v>147</v>
      </c>
      <c r="E129" s="142"/>
      <c r="F129" s="110" t="s">
        <v>459</v>
      </c>
      <c r="G129" s="114" t="s">
        <v>490</v>
      </c>
      <c r="H129" s="106" t="s">
        <v>489</v>
      </c>
      <c r="I129" s="102" t="s">
        <v>491</v>
      </c>
      <c r="J129" s="98" t="s">
        <v>488</v>
      </c>
      <c r="K129" s="88" t="s">
        <v>457</v>
      </c>
      <c r="L129" s="88" t="s">
        <v>454</v>
      </c>
      <c r="M129" s="90" t="s">
        <v>456</v>
      </c>
      <c r="N129" s="90" t="s">
        <v>148</v>
      </c>
      <c r="O129" s="51" t="s">
        <v>146</v>
      </c>
      <c r="P129" s="51" t="s">
        <v>453</v>
      </c>
      <c r="Q129" s="51" t="s">
        <v>458</v>
      </c>
      <c r="R129" s="119" t="s">
        <v>455</v>
      </c>
      <c r="S129" s="123" t="s">
        <v>492</v>
      </c>
    </row>
    <row r="130" spans="1:19" x14ac:dyDescent="0.3">
      <c r="A130" s="2" t="s">
        <v>89</v>
      </c>
      <c r="B130" s="2" t="s">
        <v>91</v>
      </c>
      <c r="C130" s="145">
        <v>1558</v>
      </c>
      <c r="D130" s="96">
        <f t="shared" ref="D130:D137" si="89">R130+S130</f>
        <v>1300.6342024212499</v>
      </c>
      <c r="E130" s="142">
        <f t="shared" si="88"/>
        <v>16.51898572392491</v>
      </c>
      <c r="F130" s="112">
        <f t="shared" ref="F130:F137" si="90">D130/0.7</f>
        <v>1858.0488606017857</v>
      </c>
      <c r="G130" s="116">
        <f t="shared" ref="G130:G137" si="91">D130/0.75</f>
        <v>1734.1789365616667</v>
      </c>
      <c r="H130" s="108">
        <f t="shared" ref="H130:H137" si="92">D130/0.8</f>
        <v>1625.7927530265624</v>
      </c>
      <c r="I130" s="104">
        <f t="shared" ref="I130:I137" si="93">D130/0.85</f>
        <v>1530.1578852014707</v>
      </c>
      <c r="J130" s="100">
        <f t="shared" ref="J130:J137" si="94">D130/0.9</f>
        <v>1445.1491138013887</v>
      </c>
      <c r="K130" s="128">
        <f>'Part Combo'!D240</f>
        <v>511.01859999999999</v>
      </c>
      <c r="L130" s="88">
        <f t="shared" ref="L130:L137" si="95">K130*0.08375</f>
        <v>42.797807750000004</v>
      </c>
      <c r="M130" s="90">
        <f t="shared" ref="M130:M137" si="96">K130+L130</f>
        <v>553.81640775000005</v>
      </c>
      <c r="N130" s="90">
        <v>0</v>
      </c>
      <c r="O130" s="51">
        <v>4</v>
      </c>
      <c r="P130" s="93">
        <f t="shared" ref="P130:P137" si="97">P2</f>
        <v>175.70874888888889</v>
      </c>
      <c r="Q130" s="93">
        <f>(O130*P130)+N130</f>
        <v>702.83499555555557</v>
      </c>
      <c r="R130" s="121">
        <f t="shared" ref="R130:R137" si="98">M130+Q130</f>
        <v>1256.6514033055555</v>
      </c>
      <c r="S130" s="125">
        <f>R130*0.035</f>
        <v>43.982799115694448</v>
      </c>
    </row>
    <row r="131" spans="1:19" x14ac:dyDescent="0.3">
      <c r="A131" s="2" t="s">
        <v>89</v>
      </c>
      <c r="B131" s="2" t="s">
        <v>90</v>
      </c>
      <c r="C131" s="145">
        <v>1868</v>
      </c>
      <c r="D131" s="96">
        <f t="shared" si="89"/>
        <v>1515.42494498375</v>
      </c>
      <c r="E131" s="142">
        <f t="shared" si="88"/>
        <v>18.874467613289614</v>
      </c>
      <c r="F131" s="112">
        <f t="shared" si="90"/>
        <v>2164.8927785482147</v>
      </c>
      <c r="G131" s="116">
        <f t="shared" si="91"/>
        <v>2020.5665933116668</v>
      </c>
      <c r="H131" s="108">
        <f t="shared" si="92"/>
        <v>1894.2811812296875</v>
      </c>
      <c r="I131" s="104">
        <f t="shared" si="93"/>
        <v>1782.8528764514706</v>
      </c>
      <c r="J131" s="100">
        <f t="shared" si="94"/>
        <v>1683.8054944263888</v>
      </c>
      <c r="K131" s="128">
        <f>'Part Combo'!D249</f>
        <v>702.5086</v>
      </c>
      <c r="L131" s="88">
        <f t="shared" si="95"/>
        <v>58.835095250000002</v>
      </c>
      <c r="M131" s="90">
        <f t="shared" si="96"/>
        <v>761.34369525</v>
      </c>
      <c r="N131" s="90">
        <v>0</v>
      </c>
      <c r="O131" s="51">
        <v>4</v>
      </c>
      <c r="P131" s="93">
        <f t="shared" si="97"/>
        <v>175.70874888888889</v>
      </c>
      <c r="Q131" s="93">
        <f t="shared" ref="Q131:Q137" si="99">(O131*P131)+N131</f>
        <v>702.83499555555557</v>
      </c>
      <c r="R131" s="121">
        <f t="shared" si="98"/>
        <v>1464.1786908055556</v>
      </c>
      <c r="S131" s="125">
        <f t="shared" ref="S131:S137" si="100">R131*0.035</f>
        <v>51.246254178194448</v>
      </c>
    </row>
    <row r="132" spans="1:19" x14ac:dyDescent="0.3">
      <c r="A132" s="2" t="s">
        <v>89</v>
      </c>
      <c r="B132" s="2" t="s">
        <v>92</v>
      </c>
      <c r="C132" s="145">
        <v>2218</v>
      </c>
      <c r="D132" s="96">
        <f t="shared" si="89"/>
        <v>1607.32428979625</v>
      </c>
      <c r="E132" s="142">
        <f t="shared" si="88"/>
        <v>27.532719125507217</v>
      </c>
      <c r="F132" s="112">
        <f t="shared" si="90"/>
        <v>2296.177556851786</v>
      </c>
      <c r="G132" s="116">
        <f t="shared" si="91"/>
        <v>2143.0990530616668</v>
      </c>
      <c r="H132" s="108">
        <f t="shared" si="92"/>
        <v>2009.1553622453125</v>
      </c>
      <c r="I132" s="104">
        <f t="shared" si="93"/>
        <v>1890.9697527014707</v>
      </c>
      <c r="J132" s="100">
        <f t="shared" si="94"/>
        <v>1785.9158775513888</v>
      </c>
      <c r="K132" s="128">
        <f>'Part Combo'!D258</f>
        <v>784.43859999999995</v>
      </c>
      <c r="L132" s="88">
        <f t="shared" si="95"/>
        <v>65.696732749999995</v>
      </c>
      <c r="M132" s="90">
        <f t="shared" si="96"/>
        <v>850.13533274999998</v>
      </c>
      <c r="N132" s="90">
        <v>0</v>
      </c>
      <c r="O132" s="51">
        <v>4</v>
      </c>
      <c r="P132" s="93">
        <f t="shared" si="97"/>
        <v>175.70874888888889</v>
      </c>
      <c r="Q132" s="93">
        <f t="shared" si="99"/>
        <v>702.83499555555557</v>
      </c>
      <c r="R132" s="121">
        <f t="shared" si="98"/>
        <v>1552.9703283055555</v>
      </c>
      <c r="S132" s="125">
        <f t="shared" si="100"/>
        <v>54.353961490694452</v>
      </c>
    </row>
    <row r="133" spans="1:19" x14ac:dyDescent="0.3">
      <c r="A133" s="2" t="s">
        <v>93</v>
      </c>
      <c r="B133" s="2" t="s">
        <v>94</v>
      </c>
      <c r="C133" s="145">
        <v>728</v>
      </c>
      <c r="D133" s="96">
        <f t="shared" si="89"/>
        <v>627.9739958875</v>
      </c>
      <c r="E133" s="142">
        <f t="shared" si="88"/>
        <v>13.739835729739012</v>
      </c>
      <c r="F133" s="112">
        <f t="shared" si="90"/>
        <v>897.10570841071433</v>
      </c>
      <c r="G133" s="116">
        <f t="shared" si="91"/>
        <v>837.29866118333337</v>
      </c>
      <c r="H133" s="108">
        <f t="shared" si="92"/>
        <v>784.96749485937494</v>
      </c>
      <c r="I133" s="104">
        <f t="shared" si="93"/>
        <v>738.79293633823534</v>
      </c>
      <c r="J133" s="100">
        <f t="shared" si="94"/>
        <v>697.74888431944441</v>
      </c>
      <c r="K133" s="128">
        <f>'Part Combo'!D278</f>
        <v>235.58999999999997</v>
      </c>
      <c r="L133" s="88">
        <f t="shared" si="95"/>
        <v>19.730662499999998</v>
      </c>
      <c r="M133" s="90">
        <f t="shared" si="96"/>
        <v>255.32066249999997</v>
      </c>
      <c r="N133" s="90">
        <v>0</v>
      </c>
      <c r="O133" s="51">
        <v>2</v>
      </c>
      <c r="P133" s="93">
        <f t="shared" si="97"/>
        <v>175.70874888888889</v>
      </c>
      <c r="Q133" s="93">
        <f t="shared" si="99"/>
        <v>351.41749777777778</v>
      </c>
      <c r="R133" s="121">
        <f t="shared" si="98"/>
        <v>606.73816027777775</v>
      </c>
      <c r="S133" s="125">
        <f t="shared" si="100"/>
        <v>21.235835609722223</v>
      </c>
    </row>
    <row r="134" spans="1:19" x14ac:dyDescent="0.3">
      <c r="A134" s="2" t="s">
        <v>93</v>
      </c>
      <c r="B134" s="2" t="s">
        <v>95</v>
      </c>
      <c r="C134" s="145">
        <v>768</v>
      </c>
      <c r="D134" s="96">
        <f t="shared" si="89"/>
        <v>641.49025495000001</v>
      </c>
      <c r="E134" s="142">
        <f t="shared" si="88"/>
        <v>16.472623053385416</v>
      </c>
      <c r="F134" s="112">
        <f t="shared" si="90"/>
        <v>916.41464992857152</v>
      </c>
      <c r="G134" s="116">
        <f t="shared" si="91"/>
        <v>855.32033993333334</v>
      </c>
      <c r="H134" s="108">
        <f t="shared" si="92"/>
        <v>801.86281868749995</v>
      </c>
      <c r="I134" s="104">
        <f t="shared" si="93"/>
        <v>754.6944175882353</v>
      </c>
      <c r="J134" s="100">
        <f t="shared" si="94"/>
        <v>712.76694994444449</v>
      </c>
      <c r="K134" s="128">
        <f>'Part Combo'!D284</f>
        <v>247.64</v>
      </c>
      <c r="L134" s="88">
        <f t="shared" si="95"/>
        <v>20.739850000000001</v>
      </c>
      <c r="M134" s="90">
        <f t="shared" si="96"/>
        <v>268.37984999999998</v>
      </c>
      <c r="N134" s="90">
        <v>0</v>
      </c>
      <c r="O134" s="51">
        <v>2</v>
      </c>
      <c r="P134" s="93">
        <f t="shared" si="97"/>
        <v>175.70874888888889</v>
      </c>
      <c r="Q134" s="93">
        <f t="shared" si="99"/>
        <v>351.41749777777778</v>
      </c>
      <c r="R134" s="121">
        <f t="shared" si="98"/>
        <v>619.79734777777776</v>
      </c>
      <c r="S134" s="125">
        <f t="shared" si="100"/>
        <v>21.692907172222224</v>
      </c>
    </row>
    <row r="135" spans="1:19" x14ac:dyDescent="0.3">
      <c r="A135" s="2" t="s">
        <v>96</v>
      </c>
      <c r="B135" s="2" t="s">
        <v>390</v>
      </c>
      <c r="C135" s="145">
        <v>1788</v>
      </c>
      <c r="D135" s="96">
        <f t="shared" si="89"/>
        <v>1473.9695503750002</v>
      </c>
      <c r="E135" s="142">
        <f t="shared" si="88"/>
        <v>17.563224251957486</v>
      </c>
      <c r="F135" s="112">
        <f t="shared" si="90"/>
        <v>2105.6707862500002</v>
      </c>
      <c r="G135" s="116">
        <f t="shared" si="91"/>
        <v>1965.2927338333336</v>
      </c>
      <c r="H135" s="108">
        <f t="shared" si="92"/>
        <v>1842.4619379687501</v>
      </c>
      <c r="I135" s="104">
        <f t="shared" si="93"/>
        <v>1734.0818239705884</v>
      </c>
      <c r="J135" s="100">
        <f t="shared" si="94"/>
        <v>1637.7439448611112</v>
      </c>
      <c r="K135" s="128">
        <f>'Part Combo'!D265</f>
        <v>503.41999999999996</v>
      </c>
      <c r="L135" s="88">
        <f t="shared" si="95"/>
        <v>42.161425000000001</v>
      </c>
      <c r="M135" s="90">
        <f t="shared" si="96"/>
        <v>545.58142499999997</v>
      </c>
      <c r="N135" s="90">
        <v>0</v>
      </c>
      <c r="O135" s="51">
        <v>5</v>
      </c>
      <c r="P135" s="93">
        <f t="shared" si="97"/>
        <v>175.70874888888889</v>
      </c>
      <c r="Q135" s="93">
        <f t="shared" si="99"/>
        <v>878.54374444444443</v>
      </c>
      <c r="R135" s="121">
        <f t="shared" si="98"/>
        <v>1424.1251694444445</v>
      </c>
      <c r="S135" s="125">
        <f t="shared" si="100"/>
        <v>49.844380930555566</v>
      </c>
    </row>
    <row r="136" spans="1:19" x14ac:dyDescent="0.3">
      <c r="A136" s="2" t="s">
        <v>96</v>
      </c>
      <c r="B136" s="2" t="s">
        <v>391</v>
      </c>
      <c r="C136" s="145">
        <v>1968</v>
      </c>
      <c r="D136" s="96">
        <f t="shared" si="89"/>
        <v>1595.0101740624998</v>
      </c>
      <c r="E136" s="142">
        <f t="shared" si="88"/>
        <v>18.952735057799806</v>
      </c>
      <c r="F136" s="112">
        <f t="shared" si="90"/>
        <v>2278.5859629464285</v>
      </c>
      <c r="G136" s="116">
        <f t="shared" si="91"/>
        <v>2126.6802320833331</v>
      </c>
      <c r="H136" s="108">
        <f t="shared" si="92"/>
        <v>1993.7627175781247</v>
      </c>
      <c r="I136" s="104">
        <f t="shared" si="93"/>
        <v>1876.4825577205881</v>
      </c>
      <c r="J136" s="100">
        <f t="shared" si="94"/>
        <v>1772.2335267361109</v>
      </c>
      <c r="K136" s="128">
        <f>'Part Combo'!D272</f>
        <v>611.32999999999993</v>
      </c>
      <c r="L136" s="88">
        <f t="shared" si="95"/>
        <v>51.198887499999998</v>
      </c>
      <c r="M136" s="90">
        <f t="shared" si="96"/>
        <v>662.52888749999988</v>
      </c>
      <c r="N136" s="90">
        <v>0</v>
      </c>
      <c r="O136" s="51">
        <v>5</v>
      </c>
      <c r="P136" s="93">
        <f t="shared" si="97"/>
        <v>175.70874888888889</v>
      </c>
      <c r="Q136" s="93">
        <f t="shared" si="99"/>
        <v>878.54374444444443</v>
      </c>
      <c r="R136" s="121">
        <f t="shared" si="98"/>
        <v>1541.0726319444443</v>
      </c>
      <c r="S136" s="125">
        <f t="shared" si="100"/>
        <v>53.937542118055553</v>
      </c>
    </row>
    <row r="137" spans="1:19" x14ac:dyDescent="0.3">
      <c r="A137" s="2" t="s">
        <v>96</v>
      </c>
      <c r="B137" s="2" t="s">
        <v>144</v>
      </c>
      <c r="C137" s="145">
        <v>4380</v>
      </c>
      <c r="D137" s="96">
        <f t="shared" si="89"/>
        <v>2580.8666674625001</v>
      </c>
      <c r="E137" s="142">
        <f t="shared" si="88"/>
        <v>41.076103482591321</v>
      </c>
      <c r="F137" s="112">
        <f t="shared" si="90"/>
        <v>3686.9523820892859</v>
      </c>
      <c r="G137" s="116">
        <f t="shared" si="91"/>
        <v>3441.1555566166667</v>
      </c>
      <c r="H137" s="108">
        <f t="shared" si="92"/>
        <v>3226.0833343281251</v>
      </c>
      <c r="I137" s="104">
        <f t="shared" si="93"/>
        <v>3036.313726426471</v>
      </c>
      <c r="J137" s="100">
        <f t="shared" si="94"/>
        <v>2867.629630513889</v>
      </c>
      <c r="K137" s="128">
        <v>1652.37</v>
      </c>
      <c r="L137" s="88">
        <f t="shared" si="95"/>
        <v>138.3859875</v>
      </c>
      <c r="M137" s="90">
        <f t="shared" si="96"/>
        <v>1790.7559874999999</v>
      </c>
      <c r="N137" s="90">
        <v>0</v>
      </c>
      <c r="O137" s="51">
        <v>4</v>
      </c>
      <c r="P137" s="93">
        <f t="shared" si="97"/>
        <v>175.70874888888889</v>
      </c>
      <c r="Q137" s="93">
        <f t="shared" si="99"/>
        <v>702.83499555555557</v>
      </c>
      <c r="R137" s="121">
        <f t="shared" si="98"/>
        <v>2493.5909830555556</v>
      </c>
      <c r="S137" s="125">
        <f t="shared" si="100"/>
        <v>87.27568440694445</v>
      </c>
    </row>
    <row r="138" spans="1:19" x14ac:dyDescent="0.3">
      <c r="F138" s="118"/>
    </row>
    <row r="139" spans="1:19" x14ac:dyDescent="0.3">
      <c r="F139" s="118"/>
    </row>
    <row r="140" spans="1:19" x14ac:dyDescent="0.3">
      <c r="F140" s="118"/>
    </row>
    <row r="141" spans="1:19" x14ac:dyDescent="0.3">
      <c r="F141" s="118"/>
    </row>
    <row r="142" spans="1:19" x14ac:dyDescent="0.3">
      <c r="F142" s="118"/>
    </row>
    <row r="143" spans="1:19" x14ac:dyDescent="0.3">
      <c r="F143" s="118"/>
    </row>
    <row r="144" spans="1:19" x14ac:dyDescent="0.3">
      <c r="F144" s="118"/>
    </row>
    <row r="145" spans="6:6" x14ac:dyDescent="0.3">
      <c r="F145" s="118"/>
    </row>
    <row r="146" spans="6:6" x14ac:dyDescent="0.3">
      <c r="F146" s="118"/>
    </row>
    <row r="147" spans="6:6" x14ac:dyDescent="0.3">
      <c r="F147" s="118"/>
    </row>
    <row r="148" spans="6:6" x14ac:dyDescent="0.3">
      <c r="F148" s="118"/>
    </row>
    <row r="149" spans="6:6" x14ac:dyDescent="0.3">
      <c r="F149" s="118"/>
    </row>
    <row r="150" spans="6:6" x14ac:dyDescent="0.3">
      <c r="F150" s="118"/>
    </row>
    <row r="151" spans="6:6" x14ac:dyDescent="0.3">
      <c r="F151" s="118"/>
    </row>
    <row r="152" spans="6:6" x14ac:dyDescent="0.3">
      <c r="F152" s="118"/>
    </row>
    <row r="153" spans="6:6" x14ac:dyDescent="0.3">
      <c r="F153" s="118"/>
    </row>
    <row r="154" spans="6:6" x14ac:dyDescent="0.3">
      <c r="F154" s="118"/>
    </row>
    <row r="155" spans="6:6" x14ac:dyDescent="0.3">
      <c r="F155" s="118"/>
    </row>
    <row r="156" spans="6:6" x14ac:dyDescent="0.3">
      <c r="F156" s="118"/>
    </row>
    <row r="157" spans="6:6" x14ac:dyDescent="0.3">
      <c r="F157" s="118"/>
    </row>
    <row r="158" spans="6:6" x14ac:dyDescent="0.3">
      <c r="F158" s="118"/>
    </row>
    <row r="159" spans="6:6" x14ac:dyDescent="0.3">
      <c r="F159" s="118"/>
    </row>
    <row r="160" spans="6:6" x14ac:dyDescent="0.3">
      <c r="F160" s="118"/>
    </row>
    <row r="161" spans="6:6" x14ac:dyDescent="0.3">
      <c r="F161" s="118"/>
    </row>
    <row r="162" spans="6:6" x14ac:dyDescent="0.3">
      <c r="F162" s="118"/>
    </row>
    <row r="163" spans="6:6" x14ac:dyDescent="0.3">
      <c r="F163" s="118"/>
    </row>
    <row r="164" spans="6:6" x14ac:dyDescent="0.3">
      <c r="F164" s="118"/>
    </row>
    <row r="165" spans="6:6" x14ac:dyDescent="0.3">
      <c r="F165" s="118"/>
    </row>
    <row r="166" spans="6:6" x14ac:dyDescent="0.3">
      <c r="F166" s="118"/>
    </row>
    <row r="167" spans="6:6" x14ac:dyDescent="0.3">
      <c r="F167" s="118"/>
    </row>
    <row r="168" spans="6:6" x14ac:dyDescent="0.3">
      <c r="F168" s="118"/>
    </row>
    <row r="169" spans="6:6" x14ac:dyDescent="0.3">
      <c r="F169" s="118"/>
    </row>
    <row r="170" spans="6:6" x14ac:dyDescent="0.3">
      <c r="F170" s="118"/>
    </row>
    <row r="171" spans="6:6" x14ac:dyDescent="0.3">
      <c r="F171" s="118"/>
    </row>
    <row r="172" spans="6:6" x14ac:dyDescent="0.3">
      <c r="F172" s="118"/>
    </row>
    <row r="173" spans="6:6" x14ac:dyDescent="0.3">
      <c r="F173" s="118"/>
    </row>
    <row r="174" spans="6:6" x14ac:dyDescent="0.3">
      <c r="F174" s="118"/>
    </row>
    <row r="175" spans="6:6" x14ac:dyDescent="0.3">
      <c r="F175" s="118"/>
    </row>
    <row r="176" spans="6:6" x14ac:dyDescent="0.3">
      <c r="F176" s="118"/>
    </row>
    <row r="177" spans="6:6" x14ac:dyDescent="0.3">
      <c r="F177" s="118"/>
    </row>
    <row r="178" spans="6:6" x14ac:dyDescent="0.3">
      <c r="F178" s="118"/>
    </row>
    <row r="179" spans="6:6" x14ac:dyDescent="0.3">
      <c r="F179" s="118"/>
    </row>
    <row r="180" spans="6:6" x14ac:dyDescent="0.3">
      <c r="F180" s="118"/>
    </row>
    <row r="181" spans="6:6" x14ac:dyDescent="0.3">
      <c r="F181" s="118"/>
    </row>
    <row r="182" spans="6:6" x14ac:dyDescent="0.3">
      <c r="F182" s="118"/>
    </row>
    <row r="183" spans="6:6" x14ac:dyDescent="0.3">
      <c r="F183" s="118"/>
    </row>
    <row r="184" spans="6:6" x14ac:dyDescent="0.3">
      <c r="F184" s="118"/>
    </row>
    <row r="185" spans="6:6" x14ac:dyDescent="0.3">
      <c r="F185" s="118"/>
    </row>
    <row r="186" spans="6:6" x14ac:dyDescent="0.3">
      <c r="F186" s="118"/>
    </row>
    <row r="187" spans="6:6" x14ac:dyDescent="0.3">
      <c r="F187" s="118"/>
    </row>
    <row r="188" spans="6:6" x14ac:dyDescent="0.3">
      <c r="F188" s="118"/>
    </row>
    <row r="189" spans="6:6" x14ac:dyDescent="0.3">
      <c r="F189" s="118"/>
    </row>
    <row r="190" spans="6:6" x14ac:dyDescent="0.3">
      <c r="F190" s="118"/>
    </row>
    <row r="191" spans="6:6" x14ac:dyDescent="0.3">
      <c r="F191" s="118"/>
    </row>
    <row r="192" spans="6:6" x14ac:dyDescent="0.3">
      <c r="F192" s="118"/>
    </row>
    <row r="193" spans="6:6" x14ac:dyDescent="0.3">
      <c r="F193" s="118"/>
    </row>
    <row r="194" spans="6:6" x14ac:dyDescent="0.3">
      <c r="F194" s="118"/>
    </row>
    <row r="195" spans="6:6" x14ac:dyDescent="0.3">
      <c r="F195" s="118"/>
    </row>
    <row r="196" spans="6:6" x14ac:dyDescent="0.3">
      <c r="F196" s="118"/>
    </row>
    <row r="197" spans="6:6" x14ac:dyDescent="0.3">
      <c r="F197" s="118"/>
    </row>
    <row r="198" spans="6:6" x14ac:dyDescent="0.3">
      <c r="F198" s="118"/>
    </row>
    <row r="199" spans="6:6" x14ac:dyDescent="0.3">
      <c r="F199" s="118"/>
    </row>
    <row r="200" spans="6:6" x14ac:dyDescent="0.3">
      <c r="F200" s="118"/>
    </row>
    <row r="201" spans="6:6" x14ac:dyDescent="0.3">
      <c r="F201" s="118"/>
    </row>
    <row r="202" spans="6:6" x14ac:dyDescent="0.3">
      <c r="F202" s="118"/>
    </row>
    <row r="203" spans="6:6" x14ac:dyDescent="0.3">
      <c r="F203" s="118"/>
    </row>
    <row r="204" spans="6:6" x14ac:dyDescent="0.3">
      <c r="F204" s="118"/>
    </row>
    <row r="205" spans="6:6" x14ac:dyDescent="0.3">
      <c r="F205" s="118"/>
    </row>
    <row r="206" spans="6:6" x14ac:dyDescent="0.3">
      <c r="F206" s="118"/>
    </row>
    <row r="207" spans="6:6" x14ac:dyDescent="0.3">
      <c r="F207" s="118"/>
    </row>
    <row r="208" spans="6:6" x14ac:dyDescent="0.3">
      <c r="F208" s="118"/>
    </row>
    <row r="209" spans="6:6" x14ac:dyDescent="0.3">
      <c r="F209" s="118"/>
    </row>
    <row r="210" spans="6:6" x14ac:dyDescent="0.3">
      <c r="F210" s="118"/>
    </row>
    <row r="211" spans="6:6" x14ac:dyDescent="0.3">
      <c r="F211" s="118"/>
    </row>
    <row r="212" spans="6:6" x14ac:dyDescent="0.3">
      <c r="F212" s="118"/>
    </row>
    <row r="213" spans="6:6" x14ac:dyDescent="0.3">
      <c r="F213" s="118"/>
    </row>
    <row r="214" spans="6:6" x14ac:dyDescent="0.3">
      <c r="F214" s="118"/>
    </row>
    <row r="215" spans="6:6" x14ac:dyDescent="0.3">
      <c r="F215" s="118"/>
    </row>
    <row r="216" spans="6:6" x14ac:dyDescent="0.3">
      <c r="F216" s="118"/>
    </row>
    <row r="217" spans="6:6" x14ac:dyDescent="0.3">
      <c r="F217" s="118"/>
    </row>
    <row r="218" spans="6:6" x14ac:dyDescent="0.3">
      <c r="F218" s="118"/>
    </row>
    <row r="219" spans="6:6" x14ac:dyDescent="0.3">
      <c r="F219" s="118"/>
    </row>
    <row r="220" spans="6:6" x14ac:dyDescent="0.3">
      <c r="F220" s="118"/>
    </row>
    <row r="221" spans="6:6" x14ac:dyDescent="0.3">
      <c r="F221" s="118"/>
    </row>
    <row r="222" spans="6:6" x14ac:dyDescent="0.3">
      <c r="F222" s="118"/>
    </row>
    <row r="223" spans="6:6" x14ac:dyDescent="0.3">
      <c r="F223" s="118"/>
    </row>
    <row r="224" spans="6:6" x14ac:dyDescent="0.3">
      <c r="F224" s="118"/>
    </row>
    <row r="225" spans="6:6" x14ac:dyDescent="0.3">
      <c r="F225" s="118"/>
    </row>
    <row r="226" spans="6:6" x14ac:dyDescent="0.3">
      <c r="F226" s="118"/>
    </row>
    <row r="227" spans="6:6" x14ac:dyDescent="0.3">
      <c r="F227" s="118"/>
    </row>
    <row r="228" spans="6:6" x14ac:dyDescent="0.3">
      <c r="F228" s="118"/>
    </row>
    <row r="229" spans="6:6" x14ac:dyDescent="0.3">
      <c r="F229" s="118"/>
    </row>
    <row r="230" spans="6:6" x14ac:dyDescent="0.3">
      <c r="F230" s="118"/>
    </row>
    <row r="231" spans="6:6" x14ac:dyDescent="0.3">
      <c r="F231" s="118"/>
    </row>
    <row r="232" spans="6:6" x14ac:dyDescent="0.3">
      <c r="F232" s="118"/>
    </row>
    <row r="233" spans="6:6" x14ac:dyDescent="0.3">
      <c r="F233" s="118"/>
    </row>
    <row r="234" spans="6:6" x14ac:dyDescent="0.3">
      <c r="F234" s="118"/>
    </row>
    <row r="235" spans="6:6" x14ac:dyDescent="0.3">
      <c r="F235" s="118"/>
    </row>
    <row r="236" spans="6:6" x14ac:dyDescent="0.3">
      <c r="F236" s="118"/>
    </row>
    <row r="237" spans="6:6" x14ac:dyDescent="0.3">
      <c r="F237" s="118"/>
    </row>
    <row r="238" spans="6:6" x14ac:dyDescent="0.3">
      <c r="F238" s="118"/>
    </row>
    <row r="239" spans="6:6" x14ac:dyDescent="0.3">
      <c r="F239" s="118"/>
    </row>
    <row r="240" spans="6:6" x14ac:dyDescent="0.3">
      <c r="F240" s="118"/>
    </row>
    <row r="241" spans="6:6" x14ac:dyDescent="0.3">
      <c r="F241" s="118"/>
    </row>
    <row r="242" spans="6:6" x14ac:dyDescent="0.3">
      <c r="F242" s="118"/>
    </row>
    <row r="243" spans="6:6" x14ac:dyDescent="0.3">
      <c r="F243" s="118"/>
    </row>
    <row r="244" spans="6:6" x14ac:dyDescent="0.3">
      <c r="F244" s="118"/>
    </row>
    <row r="245" spans="6:6" x14ac:dyDescent="0.3">
      <c r="F245" s="118"/>
    </row>
    <row r="246" spans="6:6" x14ac:dyDescent="0.3">
      <c r="F246" s="118"/>
    </row>
    <row r="247" spans="6:6" x14ac:dyDescent="0.3">
      <c r="F247" s="118"/>
    </row>
    <row r="248" spans="6:6" x14ac:dyDescent="0.3">
      <c r="F248" s="118"/>
    </row>
    <row r="249" spans="6:6" x14ac:dyDescent="0.3">
      <c r="F249" s="118"/>
    </row>
    <row r="250" spans="6:6" x14ac:dyDescent="0.3">
      <c r="F250" s="118"/>
    </row>
    <row r="251" spans="6:6" x14ac:dyDescent="0.3">
      <c r="F251" s="118"/>
    </row>
    <row r="252" spans="6:6" x14ac:dyDescent="0.3">
      <c r="F252" s="118"/>
    </row>
    <row r="253" spans="6:6" x14ac:dyDescent="0.3">
      <c r="F253" s="118"/>
    </row>
    <row r="254" spans="6:6" x14ac:dyDescent="0.3">
      <c r="F254" s="118"/>
    </row>
    <row r="255" spans="6:6" x14ac:dyDescent="0.3">
      <c r="F255" s="118"/>
    </row>
    <row r="256" spans="6:6" x14ac:dyDescent="0.3">
      <c r="F256" s="118"/>
    </row>
    <row r="257" spans="6:6" x14ac:dyDescent="0.3">
      <c r="F257" s="118"/>
    </row>
    <row r="258" spans="6:6" x14ac:dyDescent="0.3">
      <c r="F258" s="118"/>
    </row>
    <row r="259" spans="6:6" x14ac:dyDescent="0.3">
      <c r="F259" s="118"/>
    </row>
    <row r="260" spans="6:6" x14ac:dyDescent="0.3">
      <c r="F260" s="118"/>
    </row>
    <row r="261" spans="6:6" x14ac:dyDescent="0.3">
      <c r="F261" s="118"/>
    </row>
    <row r="262" spans="6:6" x14ac:dyDescent="0.3">
      <c r="F262" s="118"/>
    </row>
    <row r="263" spans="6:6" x14ac:dyDescent="0.3">
      <c r="F263" s="118"/>
    </row>
    <row r="264" spans="6:6" x14ac:dyDescent="0.3">
      <c r="F264" s="118"/>
    </row>
    <row r="265" spans="6:6" x14ac:dyDescent="0.3">
      <c r="F265" s="118"/>
    </row>
    <row r="266" spans="6:6" x14ac:dyDescent="0.3">
      <c r="F266" s="118"/>
    </row>
    <row r="267" spans="6:6" x14ac:dyDescent="0.3">
      <c r="F267" s="118"/>
    </row>
    <row r="268" spans="6:6" x14ac:dyDescent="0.3">
      <c r="F268" s="118"/>
    </row>
    <row r="269" spans="6:6" x14ac:dyDescent="0.3">
      <c r="F269" s="118"/>
    </row>
    <row r="270" spans="6:6" x14ac:dyDescent="0.3">
      <c r="F270" s="118"/>
    </row>
    <row r="271" spans="6:6" x14ac:dyDescent="0.3">
      <c r="F271" s="118"/>
    </row>
    <row r="272" spans="6:6" x14ac:dyDescent="0.3">
      <c r="F272" s="118"/>
    </row>
    <row r="273" spans="6:6" x14ac:dyDescent="0.3">
      <c r="F273" s="118"/>
    </row>
    <row r="274" spans="6:6" x14ac:dyDescent="0.3">
      <c r="F274" s="118"/>
    </row>
    <row r="275" spans="6:6" x14ac:dyDescent="0.3">
      <c r="F275" s="118"/>
    </row>
    <row r="276" spans="6:6" x14ac:dyDescent="0.3">
      <c r="F276" s="118"/>
    </row>
    <row r="277" spans="6:6" x14ac:dyDescent="0.3">
      <c r="F277" s="118"/>
    </row>
    <row r="278" spans="6:6" x14ac:dyDescent="0.3">
      <c r="F278" s="118"/>
    </row>
    <row r="279" spans="6:6" x14ac:dyDescent="0.3">
      <c r="F279" s="118"/>
    </row>
    <row r="280" spans="6:6" x14ac:dyDescent="0.3">
      <c r="F280" s="118"/>
    </row>
    <row r="281" spans="6:6" x14ac:dyDescent="0.3">
      <c r="F281" s="118"/>
    </row>
    <row r="282" spans="6:6" x14ac:dyDescent="0.3">
      <c r="F282" s="118"/>
    </row>
    <row r="283" spans="6:6" x14ac:dyDescent="0.3">
      <c r="F283" s="118"/>
    </row>
    <row r="284" spans="6:6" x14ac:dyDescent="0.3">
      <c r="F284" s="118"/>
    </row>
    <row r="285" spans="6:6" x14ac:dyDescent="0.3">
      <c r="F285" s="118"/>
    </row>
    <row r="286" spans="6:6" x14ac:dyDescent="0.3">
      <c r="F286" s="118"/>
    </row>
    <row r="287" spans="6:6" x14ac:dyDescent="0.3">
      <c r="F287" s="118"/>
    </row>
    <row r="288" spans="6:6" x14ac:dyDescent="0.3">
      <c r="F288" s="118"/>
    </row>
    <row r="289" spans="6:6" x14ac:dyDescent="0.3">
      <c r="F289" s="118"/>
    </row>
    <row r="290" spans="6:6" x14ac:dyDescent="0.3">
      <c r="F290" s="118"/>
    </row>
    <row r="291" spans="6:6" x14ac:dyDescent="0.3">
      <c r="F291" s="118"/>
    </row>
    <row r="292" spans="6:6" x14ac:dyDescent="0.3">
      <c r="F292" s="118"/>
    </row>
    <row r="293" spans="6:6" x14ac:dyDescent="0.3">
      <c r="F293" s="118"/>
    </row>
    <row r="294" spans="6:6" x14ac:dyDescent="0.3">
      <c r="F294" s="118"/>
    </row>
    <row r="295" spans="6:6" x14ac:dyDescent="0.3">
      <c r="F295" s="118"/>
    </row>
    <row r="296" spans="6:6" x14ac:dyDescent="0.3">
      <c r="F296" s="118"/>
    </row>
    <row r="297" spans="6:6" x14ac:dyDescent="0.3">
      <c r="F297" s="118"/>
    </row>
    <row r="298" spans="6:6" x14ac:dyDescent="0.3">
      <c r="F298" s="118"/>
    </row>
    <row r="299" spans="6:6" x14ac:dyDescent="0.3">
      <c r="F299" s="118"/>
    </row>
    <row r="300" spans="6:6" x14ac:dyDescent="0.3">
      <c r="F300" s="118"/>
    </row>
    <row r="301" spans="6:6" x14ac:dyDescent="0.3">
      <c r="F301" s="118"/>
    </row>
    <row r="302" spans="6:6" x14ac:dyDescent="0.3">
      <c r="F302" s="118"/>
    </row>
    <row r="303" spans="6:6" x14ac:dyDescent="0.3">
      <c r="F303" s="118"/>
    </row>
    <row r="304" spans="6:6" x14ac:dyDescent="0.3">
      <c r="F304" s="118"/>
    </row>
    <row r="305" spans="6:6" x14ac:dyDescent="0.3">
      <c r="F305" s="118"/>
    </row>
    <row r="306" spans="6:6" x14ac:dyDescent="0.3">
      <c r="F306" s="118"/>
    </row>
    <row r="307" spans="6:6" x14ac:dyDescent="0.3">
      <c r="F307" s="118"/>
    </row>
    <row r="308" spans="6:6" x14ac:dyDescent="0.3">
      <c r="F308" s="118"/>
    </row>
    <row r="309" spans="6:6" x14ac:dyDescent="0.3">
      <c r="F309" s="118"/>
    </row>
    <row r="310" spans="6:6" x14ac:dyDescent="0.3">
      <c r="F310" s="118"/>
    </row>
    <row r="311" spans="6:6" x14ac:dyDescent="0.3">
      <c r="F311" s="118"/>
    </row>
    <row r="312" spans="6:6" x14ac:dyDescent="0.3">
      <c r="F312" s="118"/>
    </row>
    <row r="313" spans="6:6" x14ac:dyDescent="0.3">
      <c r="F313" s="118"/>
    </row>
    <row r="314" spans="6:6" x14ac:dyDescent="0.3">
      <c r="F314" s="118"/>
    </row>
    <row r="315" spans="6:6" x14ac:dyDescent="0.3">
      <c r="F315" s="118"/>
    </row>
    <row r="316" spans="6:6" x14ac:dyDescent="0.3">
      <c r="F316" s="118"/>
    </row>
    <row r="317" spans="6:6" x14ac:dyDescent="0.3">
      <c r="F317" s="118"/>
    </row>
    <row r="318" spans="6:6" x14ac:dyDescent="0.3">
      <c r="F318" s="118"/>
    </row>
    <row r="319" spans="6:6" x14ac:dyDescent="0.3">
      <c r="F319" s="118"/>
    </row>
    <row r="320" spans="6:6" x14ac:dyDescent="0.3">
      <c r="F320" s="118"/>
    </row>
    <row r="321" spans="6:6" x14ac:dyDescent="0.3">
      <c r="F321" s="118"/>
    </row>
    <row r="322" spans="6:6" x14ac:dyDescent="0.3">
      <c r="F322" s="118"/>
    </row>
    <row r="323" spans="6:6" x14ac:dyDescent="0.3">
      <c r="F323" s="118"/>
    </row>
    <row r="324" spans="6:6" x14ac:dyDescent="0.3">
      <c r="F324" s="118"/>
    </row>
    <row r="325" spans="6:6" x14ac:dyDescent="0.3">
      <c r="F325" s="118"/>
    </row>
    <row r="326" spans="6:6" x14ac:dyDescent="0.3">
      <c r="F326" s="118"/>
    </row>
    <row r="327" spans="6:6" x14ac:dyDescent="0.3">
      <c r="F327" s="118"/>
    </row>
    <row r="328" spans="6:6" x14ac:dyDescent="0.3">
      <c r="F328" s="118"/>
    </row>
    <row r="329" spans="6:6" x14ac:dyDescent="0.3">
      <c r="F329" s="118"/>
    </row>
    <row r="330" spans="6:6" x14ac:dyDescent="0.3">
      <c r="F330" s="118"/>
    </row>
    <row r="331" spans="6:6" x14ac:dyDescent="0.3">
      <c r="F331" s="118"/>
    </row>
    <row r="332" spans="6:6" x14ac:dyDescent="0.3">
      <c r="F332" s="118"/>
    </row>
    <row r="333" spans="6:6" x14ac:dyDescent="0.3">
      <c r="F333" s="118"/>
    </row>
    <row r="334" spans="6:6" x14ac:dyDescent="0.3">
      <c r="F334" s="118"/>
    </row>
    <row r="335" spans="6:6" x14ac:dyDescent="0.3">
      <c r="F335" s="118"/>
    </row>
    <row r="336" spans="6:6" x14ac:dyDescent="0.3">
      <c r="F336" s="118"/>
    </row>
    <row r="337" spans="6:6" x14ac:dyDescent="0.3">
      <c r="F337" s="118"/>
    </row>
    <row r="338" spans="6:6" x14ac:dyDescent="0.3">
      <c r="F338" s="118"/>
    </row>
    <row r="339" spans="6:6" x14ac:dyDescent="0.3">
      <c r="F339" s="118"/>
    </row>
    <row r="340" spans="6:6" x14ac:dyDescent="0.3">
      <c r="F340" s="118"/>
    </row>
    <row r="341" spans="6:6" x14ac:dyDescent="0.3">
      <c r="F341" s="118"/>
    </row>
    <row r="342" spans="6:6" x14ac:dyDescent="0.3">
      <c r="F342" s="118"/>
    </row>
    <row r="343" spans="6:6" x14ac:dyDescent="0.3">
      <c r="F343" s="118"/>
    </row>
    <row r="344" spans="6:6" x14ac:dyDescent="0.3">
      <c r="F344" s="118"/>
    </row>
    <row r="345" spans="6:6" x14ac:dyDescent="0.3">
      <c r="F345" s="118"/>
    </row>
    <row r="346" spans="6:6" x14ac:dyDescent="0.3">
      <c r="F346" s="118"/>
    </row>
    <row r="347" spans="6:6" x14ac:dyDescent="0.3">
      <c r="F347" s="118"/>
    </row>
    <row r="348" spans="6:6" x14ac:dyDescent="0.3">
      <c r="F348" s="118"/>
    </row>
    <row r="349" spans="6:6" x14ac:dyDescent="0.3">
      <c r="F349" s="118"/>
    </row>
    <row r="350" spans="6:6" x14ac:dyDescent="0.3">
      <c r="F350" s="118"/>
    </row>
    <row r="351" spans="6:6" x14ac:dyDescent="0.3">
      <c r="F351" s="118"/>
    </row>
    <row r="352" spans="6:6" x14ac:dyDescent="0.3">
      <c r="F352" s="118"/>
    </row>
    <row r="353" spans="6:6" x14ac:dyDescent="0.3">
      <c r="F353" s="118"/>
    </row>
    <row r="354" spans="6:6" x14ac:dyDescent="0.3">
      <c r="F354" s="118"/>
    </row>
    <row r="355" spans="6:6" x14ac:dyDescent="0.3">
      <c r="F355" s="118"/>
    </row>
    <row r="356" spans="6:6" x14ac:dyDescent="0.3">
      <c r="F356" s="118"/>
    </row>
    <row r="357" spans="6:6" x14ac:dyDescent="0.3">
      <c r="F357" s="118"/>
    </row>
    <row r="358" spans="6:6" x14ac:dyDescent="0.3">
      <c r="F358" s="118"/>
    </row>
    <row r="359" spans="6:6" x14ac:dyDescent="0.3">
      <c r="F359" s="118"/>
    </row>
    <row r="360" spans="6:6" x14ac:dyDescent="0.3">
      <c r="F360" s="118"/>
    </row>
    <row r="361" spans="6:6" x14ac:dyDescent="0.3">
      <c r="F361" s="118"/>
    </row>
    <row r="362" spans="6:6" x14ac:dyDescent="0.3">
      <c r="F362" s="118"/>
    </row>
    <row r="363" spans="6:6" x14ac:dyDescent="0.3">
      <c r="F363" s="118"/>
    </row>
    <row r="364" spans="6:6" x14ac:dyDescent="0.3">
      <c r="F364" s="118"/>
    </row>
    <row r="365" spans="6:6" x14ac:dyDescent="0.3">
      <c r="F365" s="118"/>
    </row>
    <row r="366" spans="6:6" x14ac:dyDescent="0.3">
      <c r="F366" s="118"/>
    </row>
    <row r="367" spans="6:6" x14ac:dyDescent="0.3">
      <c r="F367" s="118"/>
    </row>
    <row r="368" spans="6:6" x14ac:dyDescent="0.3">
      <c r="F368" s="118"/>
    </row>
    <row r="369" spans="6:6" x14ac:dyDescent="0.3">
      <c r="F369" s="118"/>
    </row>
    <row r="370" spans="6:6" x14ac:dyDescent="0.3">
      <c r="F370" s="118"/>
    </row>
    <row r="371" spans="6:6" x14ac:dyDescent="0.3">
      <c r="F371" s="118"/>
    </row>
    <row r="372" spans="6:6" x14ac:dyDescent="0.3">
      <c r="F372" s="118"/>
    </row>
    <row r="373" spans="6:6" x14ac:dyDescent="0.3">
      <c r="F373" s="118"/>
    </row>
    <row r="374" spans="6:6" x14ac:dyDescent="0.3">
      <c r="F374" s="118"/>
    </row>
    <row r="375" spans="6:6" x14ac:dyDescent="0.3">
      <c r="F375" s="118"/>
    </row>
    <row r="376" spans="6:6" x14ac:dyDescent="0.3">
      <c r="F376" s="1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B6DD-E62D-41D2-BD14-0998E5328C05}">
  <sheetPr>
    <pageSetUpPr fitToPage="1"/>
  </sheetPr>
  <dimension ref="A1:J304"/>
  <sheetViews>
    <sheetView topLeftCell="A67" workbookViewId="0">
      <selection activeCell="B118" sqref="B118"/>
    </sheetView>
  </sheetViews>
  <sheetFormatPr defaultRowHeight="14.4" x14ac:dyDescent="0.3"/>
  <cols>
    <col min="1" max="1" width="28.109375" customWidth="1"/>
    <col min="4" max="4" width="8.88671875" style="42"/>
    <col min="8" max="8" width="12.5546875" customWidth="1"/>
    <col min="9" max="9" width="18.44140625" customWidth="1"/>
    <col min="10" max="10" width="15.5546875" customWidth="1"/>
  </cols>
  <sheetData>
    <row r="1" spans="1:10" x14ac:dyDescent="0.3">
      <c r="A1" s="4" t="s">
        <v>537</v>
      </c>
      <c r="B1" s="2"/>
      <c r="C1" s="2"/>
      <c r="D1" s="48"/>
      <c r="E1" s="2"/>
      <c r="F1" s="2"/>
      <c r="G1" s="2"/>
      <c r="H1" s="2"/>
      <c r="I1" s="2"/>
      <c r="J1" s="2"/>
    </row>
    <row r="2" spans="1:10" x14ac:dyDescent="0.3">
      <c r="A2" s="4" t="s">
        <v>44</v>
      </c>
      <c r="B2" s="2" t="s">
        <v>176</v>
      </c>
      <c r="C2" s="2" t="s">
        <v>163</v>
      </c>
      <c r="D2" s="48" t="s">
        <v>164</v>
      </c>
      <c r="E2" s="2"/>
      <c r="F2" s="2"/>
      <c r="G2" s="2"/>
      <c r="H2" s="2"/>
      <c r="I2" s="2"/>
      <c r="J2" s="2"/>
    </row>
    <row r="3" spans="1:10" x14ac:dyDescent="0.3">
      <c r="A3" s="2" t="s">
        <v>82</v>
      </c>
      <c r="B3" s="2">
        <f>'Part Pricing'!B26</f>
        <v>7.05</v>
      </c>
      <c r="C3" s="2">
        <v>1</v>
      </c>
      <c r="D3" s="48">
        <f>B3*C3</f>
        <v>7.05</v>
      </c>
      <c r="E3" s="2"/>
      <c r="F3" s="2"/>
      <c r="G3" s="2"/>
      <c r="H3" s="2"/>
      <c r="I3" s="2"/>
      <c r="J3" s="2"/>
    </row>
    <row r="4" spans="1:10" x14ac:dyDescent="0.3">
      <c r="A4" s="2" t="s">
        <v>177</v>
      </c>
      <c r="B4" s="2">
        <f>'Part Pricing'!B27</f>
        <v>1.99</v>
      </c>
      <c r="C4" s="2">
        <v>1</v>
      </c>
      <c r="D4" s="48">
        <f>B4*C4</f>
        <v>1.99</v>
      </c>
      <c r="E4" s="2"/>
      <c r="F4" s="2"/>
      <c r="G4" s="2"/>
      <c r="H4" s="2"/>
      <c r="I4" s="2"/>
      <c r="J4" s="2"/>
    </row>
    <row r="5" spans="1:10" x14ac:dyDescent="0.3">
      <c r="A5" s="4" t="s">
        <v>164</v>
      </c>
      <c r="B5" s="2"/>
      <c r="C5" s="2"/>
      <c r="D5" s="48">
        <f>D3+D4</f>
        <v>9.0399999999999991</v>
      </c>
      <c r="E5" s="2"/>
      <c r="F5" s="2"/>
      <c r="G5" s="2"/>
      <c r="H5" s="2"/>
      <c r="I5" s="2"/>
      <c r="J5" s="2"/>
    </row>
    <row r="6" spans="1:10" x14ac:dyDescent="0.3">
      <c r="A6" s="4" t="s">
        <v>384</v>
      </c>
      <c r="B6" s="2"/>
      <c r="C6" s="2"/>
      <c r="D6" s="48"/>
      <c r="E6" s="2"/>
      <c r="F6" s="2"/>
      <c r="G6" s="2"/>
      <c r="H6" s="2"/>
      <c r="I6" s="2"/>
      <c r="J6" s="2"/>
    </row>
    <row r="7" spans="1:10" x14ac:dyDescent="0.3">
      <c r="A7" s="2" t="s">
        <v>83</v>
      </c>
      <c r="B7" s="2">
        <f>'Part Pricing'!B29</f>
        <v>4.3600000000000003</v>
      </c>
      <c r="C7" s="2">
        <v>1</v>
      </c>
      <c r="D7" s="48">
        <f>B7*C7</f>
        <v>4.3600000000000003</v>
      </c>
      <c r="E7" s="2"/>
      <c r="F7" s="2"/>
      <c r="G7" s="2"/>
      <c r="H7" s="2"/>
      <c r="I7" s="2"/>
      <c r="J7" s="2"/>
    </row>
    <row r="8" spans="1:10" x14ac:dyDescent="0.3">
      <c r="A8" s="2" t="s">
        <v>180</v>
      </c>
      <c r="B8" s="2">
        <f>'Part Pricing'!B191</f>
        <v>4.79</v>
      </c>
      <c r="C8" s="2">
        <v>1</v>
      </c>
      <c r="D8" s="48">
        <f>B8*C8</f>
        <v>4.79</v>
      </c>
      <c r="E8" s="2"/>
      <c r="F8" s="2"/>
      <c r="G8" s="2"/>
      <c r="H8" s="2"/>
      <c r="I8" s="2"/>
      <c r="J8" s="2"/>
    </row>
    <row r="9" spans="1:10" x14ac:dyDescent="0.3">
      <c r="A9" s="2" t="s">
        <v>181</v>
      </c>
      <c r="B9" s="49">
        <f>'Part Pricing'!B32</f>
        <v>5.98</v>
      </c>
      <c r="C9" s="2">
        <v>1</v>
      </c>
      <c r="D9" s="48">
        <f>B9*C9</f>
        <v>5.98</v>
      </c>
      <c r="E9" s="2"/>
      <c r="F9" s="2"/>
      <c r="G9" s="2"/>
      <c r="H9" s="2"/>
      <c r="I9" s="2"/>
      <c r="J9" s="2"/>
    </row>
    <row r="10" spans="1:10" x14ac:dyDescent="0.3">
      <c r="A10" s="4" t="s">
        <v>164</v>
      </c>
      <c r="B10" s="49"/>
      <c r="C10" s="2"/>
      <c r="D10" s="48">
        <f>D7+D8+D9</f>
        <v>15.13</v>
      </c>
      <c r="E10" s="2"/>
      <c r="F10" s="2"/>
      <c r="G10" s="2"/>
      <c r="H10" s="2"/>
      <c r="I10" s="2"/>
      <c r="J10" s="2"/>
    </row>
    <row r="11" spans="1:10" x14ac:dyDescent="0.3">
      <c r="A11" s="4" t="s">
        <v>51</v>
      </c>
      <c r="B11" s="49"/>
      <c r="C11" s="2" t="s">
        <v>476</v>
      </c>
      <c r="D11" s="48"/>
      <c r="E11" s="2"/>
      <c r="F11" s="2"/>
      <c r="G11" s="2"/>
      <c r="H11" s="2"/>
      <c r="I11" s="2"/>
      <c r="J11" s="2"/>
    </row>
    <row r="12" spans="1:10" x14ac:dyDescent="0.3">
      <c r="A12" s="83" t="s">
        <v>474</v>
      </c>
      <c r="B12" s="49">
        <f>'Part Pricing'!B11</f>
        <v>11.69</v>
      </c>
      <c r="C12" s="2">
        <v>1</v>
      </c>
      <c r="D12" s="48">
        <f>B12*C12</f>
        <v>11.69</v>
      </c>
      <c r="E12" s="2"/>
      <c r="F12" s="2"/>
      <c r="G12" s="2"/>
      <c r="H12" s="2"/>
      <c r="I12" s="2"/>
      <c r="J12" s="2"/>
    </row>
    <row r="13" spans="1:10" x14ac:dyDescent="0.3">
      <c r="A13" s="83" t="s">
        <v>475</v>
      </c>
      <c r="B13" s="49">
        <f>'Part Pricing'!B30</f>
        <v>5.0599999999999996</v>
      </c>
      <c r="C13" s="2">
        <v>1</v>
      </c>
      <c r="D13" s="48">
        <f>B13*C13</f>
        <v>5.0599999999999996</v>
      </c>
      <c r="E13" s="2"/>
      <c r="F13" s="2"/>
      <c r="G13" s="2"/>
      <c r="H13" s="2"/>
      <c r="I13" s="2"/>
      <c r="J13" s="2"/>
    </row>
    <row r="14" spans="1:10" x14ac:dyDescent="0.3">
      <c r="A14" s="4" t="s">
        <v>164</v>
      </c>
      <c r="B14" s="49"/>
      <c r="C14" s="2"/>
      <c r="D14" s="48">
        <f>D12+D13</f>
        <v>16.75</v>
      </c>
      <c r="E14" s="2"/>
      <c r="F14" s="2"/>
      <c r="G14" s="2"/>
      <c r="H14" s="2"/>
      <c r="I14" s="2"/>
      <c r="J14" s="2"/>
    </row>
    <row r="15" spans="1:10" x14ac:dyDescent="0.3">
      <c r="A15" s="127" t="s">
        <v>478</v>
      </c>
      <c r="B15" s="49"/>
      <c r="C15" s="49" t="s">
        <v>476</v>
      </c>
      <c r="D15" s="133"/>
      <c r="E15" s="2"/>
      <c r="F15" s="2"/>
      <c r="G15" s="2"/>
      <c r="H15" s="2"/>
      <c r="I15" s="2"/>
      <c r="J15" s="2"/>
    </row>
    <row r="16" spans="1:10" x14ac:dyDescent="0.3">
      <c r="A16" s="49" t="s">
        <v>479</v>
      </c>
      <c r="B16" s="49">
        <f>'Part Pricing'!B2</f>
        <v>1.86</v>
      </c>
      <c r="C16" s="49">
        <v>1</v>
      </c>
      <c r="D16" s="133">
        <f>B16*C16</f>
        <v>1.86</v>
      </c>
      <c r="E16" s="2"/>
      <c r="F16" s="2"/>
      <c r="G16" s="2"/>
      <c r="H16" s="2"/>
      <c r="I16" s="2"/>
      <c r="J16" s="2"/>
    </row>
    <row r="17" spans="1:10" x14ac:dyDescent="0.3">
      <c r="A17" s="49" t="s">
        <v>480</v>
      </c>
      <c r="B17" s="49">
        <f>'Part Pricing'!B3</f>
        <v>16.59</v>
      </c>
      <c r="C17" s="49">
        <v>1</v>
      </c>
      <c r="D17" s="133">
        <f>B17*C17</f>
        <v>16.59</v>
      </c>
      <c r="E17" s="2"/>
      <c r="F17" s="2"/>
      <c r="G17" s="2"/>
      <c r="H17" s="2"/>
      <c r="I17" s="2"/>
      <c r="J17" s="2"/>
    </row>
    <row r="18" spans="1:10" x14ac:dyDescent="0.3">
      <c r="A18" s="127" t="s">
        <v>164</v>
      </c>
      <c r="B18" s="49"/>
      <c r="C18" s="49"/>
      <c r="D18" s="133">
        <f>D16+D17</f>
        <v>18.45</v>
      </c>
      <c r="E18" s="2"/>
      <c r="F18" s="2"/>
      <c r="G18" s="2"/>
      <c r="H18" s="2"/>
      <c r="I18" s="2"/>
      <c r="J18" s="2"/>
    </row>
    <row r="19" spans="1:10" x14ac:dyDescent="0.3">
      <c r="A19" s="127" t="s">
        <v>506</v>
      </c>
      <c r="B19" s="49"/>
      <c r="C19" s="49"/>
      <c r="D19" s="133"/>
      <c r="E19" s="49"/>
      <c r="F19" s="2"/>
      <c r="G19" s="2"/>
      <c r="H19" s="2"/>
      <c r="I19" s="2"/>
      <c r="J19" s="2"/>
    </row>
    <row r="20" spans="1:10" x14ac:dyDescent="0.3">
      <c r="A20" s="49" t="s">
        <v>507</v>
      </c>
      <c r="B20" s="49">
        <f>'Part Pricing'!B16</f>
        <v>28.73</v>
      </c>
      <c r="C20" s="49">
        <v>1</v>
      </c>
      <c r="D20" s="133">
        <f>B20*C20</f>
        <v>28.73</v>
      </c>
      <c r="E20" s="49"/>
      <c r="F20" s="2"/>
      <c r="G20" s="2"/>
      <c r="H20" s="2"/>
      <c r="I20" s="2"/>
      <c r="J20" s="2"/>
    </row>
    <row r="21" spans="1:10" x14ac:dyDescent="0.3">
      <c r="A21" s="49" t="s">
        <v>508</v>
      </c>
      <c r="B21" s="49">
        <f>'Part Pricing'!B3</f>
        <v>16.59</v>
      </c>
      <c r="C21" s="49">
        <v>1</v>
      </c>
      <c r="D21" s="133">
        <f>B21*C21</f>
        <v>16.59</v>
      </c>
      <c r="E21" s="49"/>
      <c r="F21" s="2"/>
      <c r="G21" s="2"/>
      <c r="H21" s="2"/>
      <c r="I21" s="2"/>
      <c r="J21" s="2"/>
    </row>
    <row r="22" spans="1:10" x14ac:dyDescent="0.3">
      <c r="A22" s="49" t="s">
        <v>303</v>
      </c>
      <c r="B22" s="49">
        <f>'Part Pricing'!B2</f>
        <v>1.86</v>
      </c>
      <c r="C22" s="49">
        <v>1</v>
      </c>
      <c r="D22" s="133">
        <f>B22*C22</f>
        <v>1.86</v>
      </c>
      <c r="E22" s="49"/>
      <c r="F22" s="2"/>
      <c r="G22" s="2"/>
      <c r="H22" s="2"/>
      <c r="I22" s="2"/>
      <c r="J22" s="2"/>
    </row>
    <row r="23" spans="1:10" x14ac:dyDescent="0.3">
      <c r="A23" s="127" t="s">
        <v>164</v>
      </c>
      <c r="B23" s="49"/>
      <c r="C23" s="49"/>
      <c r="D23" s="133">
        <f>D20+D21+D22</f>
        <v>47.18</v>
      </c>
      <c r="E23" s="49"/>
      <c r="F23" s="2"/>
      <c r="G23" s="2"/>
      <c r="H23" s="2"/>
      <c r="I23" s="2"/>
      <c r="J23" s="2"/>
    </row>
    <row r="24" spans="1:10" x14ac:dyDescent="0.3">
      <c r="A24" s="127" t="s">
        <v>498</v>
      </c>
      <c r="B24" s="49"/>
      <c r="C24" s="49"/>
      <c r="D24" s="133"/>
      <c r="E24" s="49"/>
      <c r="F24" s="2"/>
      <c r="G24" s="2"/>
      <c r="H24" s="2"/>
      <c r="I24" s="2"/>
      <c r="J24" s="2"/>
    </row>
    <row r="25" spans="1:10" x14ac:dyDescent="0.3">
      <c r="A25" s="49" t="s">
        <v>499</v>
      </c>
      <c r="B25" s="49">
        <f>'Part Pricing'!B13</f>
        <v>80.81</v>
      </c>
      <c r="C25" s="49">
        <v>1</v>
      </c>
      <c r="D25" s="133">
        <f>B25*C25</f>
        <v>80.81</v>
      </c>
      <c r="E25" s="49"/>
      <c r="F25" s="2"/>
      <c r="G25" s="2"/>
      <c r="H25" s="2"/>
      <c r="I25" s="2"/>
      <c r="J25" s="2"/>
    </row>
    <row r="26" spans="1:10" x14ac:dyDescent="0.3">
      <c r="A26" s="49" t="s">
        <v>500</v>
      </c>
      <c r="B26" s="49">
        <f>'Part Pricing'!B14</f>
        <v>43.26</v>
      </c>
      <c r="C26" s="49">
        <v>1</v>
      </c>
      <c r="D26" s="133">
        <f>B26*C26</f>
        <v>43.26</v>
      </c>
      <c r="E26" s="49"/>
      <c r="F26" s="2"/>
      <c r="G26" s="2"/>
      <c r="H26" s="2"/>
      <c r="I26" s="2"/>
      <c r="J26" s="2"/>
    </row>
    <row r="27" spans="1:10" x14ac:dyDescent="0.3">
      <c r="A27" s="49" t="s">
        <v>501</v>
      </c>
      <c r="B27" s="49">
        <f>'Part Pricing'!B46</f>
        <v>5.24</v>
      </c>
      <c r="C27" s="49">
        <v>3</v>
      </c>
      <c r="D27" s="133">
        <f>B27*C27</f>
        <v>15.72</v>
      </c>
      <c r="E27" s="49"/>
      <c r="F27" s="2"/>
      <c r="G27" s="2"/>
      <c r="H27" s="2"/>
      <c r="I27" s="2"/>
      <c r="J27" s="2"/>
    </row>
    <row r="28" spans="1:10" x14ac:dyDescent="0.3">
      <c r="A28" s="49" t="s">
        <v>228</v>
      </c>
      <c r="B28" s="49">
        <f>'Part Pricing'!C146</f>
        <v>1.7304999999999999</v>
      </c>
      <c r="C28" s="49">
        <v>1</v>
      </c>
      <c r="D28" s="133">
        <f>B28*C28</f>
        <v>1.7304999999999999</v>
      </c>
      <c r="E28" s="49"/>
      <c r="F28" s="2"/>
      <c r="G28" s="2"/>
      <c r="H28" s="2"/>
      <c r="I28" s="2"/>
      <c r="J28" s="2"/>
    </row>
    <row r="29" spans="1:10" x14ac:dyDescent="0.3">
      <c r="A29" s="49" t="s">
        <v>502</v>
      </c>
      <c r="B29" s="49">
        <f>'Part Pricing'!B50</f>
        <v>2.44</v>
      </c>
      <c r="C29" s="49">
        <v>2</v>
      </c>
      <c r="D29" s="133">
        <f>B29*C29</f>
        <v>4.88</v>
      </c>
      <c r="E29" s="49"/>
      <c r="F29" s="2"/>
      <c r="G29" s="2"/>
      <c r="H29" s="2"/>
      <c r="I29" s="2"/>
      <c r="J29" s="2"/>
    </row>
    <row r="30" spans="1:10" x14ac:dyDescent="0.3">
      <c r="A30" s="127" t="s">
        <v>164</v>
      </c>
      <c r="B30" s="49"/>
      <c r="C30" s="49"/>
      <c r="D30" s="133">
        <f>D25+D26+D27+D28+D29</f>
        <v>146.40049999999999</v>
      </c>
      <c r="E30" s="49"/>
      <c r="F30" s="2"/>
      <c r="G30" s="2"/>
      <c r="H30" s="2"/>
      <c r="I30" s="2"/>
      <c r="J30" s="2"/>
    </row>
    <row r="31" spans="1:10" x14ac:dyDescent="0.3">
      <c r="A31" s="127" t="s">
        <v>503</v>
      </c>
      <c r="B31" s="49"/>
      <c r="C31" s="49"/>
      <c r="D31" s="133"/>
      <c r="E31" s="49"/>
      <c r="F31" s="2"/>
      <c r="G31" s="2"/>
      <c r="H31" s="2"/>
      <c r="I31" s="2"/>
      <c r="J31" s="2"/>
    </row>
    <row r="32" spans="1:10" x14ac:dyDescent="0.3">
      <c r="A32" s="49" t="s">
        <v>499</v>
      </c>
      <c r="B32" s="49">
        <f>'Part Pricing'!B13</f>
        <v>80.81</v>
      </c>
      <c r="C32" s="49">
        <v>1</v>
      </c>
      <c r="D32" s="133">
        <f>B32*C32</f>
        <v>80.81</v>
      </c>
      <c r="E32" s="49"/>
      <c r="F32" s="2"/>
      <c r="G32" s="2"/>
      <c r="H32" s="2"/>
      <c r="I32" s="2"/>
      <c r="J32" s="2"/>
    </row>
    <row r="33" spans="1:10" x14ac:dyDescent="0.3">
      <c r="A33" s="49" t="s">
        <v>504</v>
      </c>
      <c r="B33" s="49">
        <f>'Part Pricing'!B15</f>
        <v>61</v>
      </c>
      <c r="C33" s="49">
        <v>1</v>
      </c>
      <c r="D33" s="133">
        <f>B33*C33</f>
        <v>61</v>
      </c>
      <c r="E33" s="49"/>
      <c r="F33" s="2"/>
      <c r="G33" s="2"/>
      <c r="H33" s="2"/>
      <c r="I33" s="2"/>
      <c r="J33" s="2"/>
    </row>
    <row r="34" spans="1:10" x14ac:dyDescent="0.3">
      <c r="A34" s="49" t="s">
        <v>501</v>
      </c>
      <c r="B34" s="49">
        <f>'Part Pricing'!B45</f>
        <v>2.12</v>
      </c>
      <c r="C34" s="49">
        <v>3</v>
      </c>
      <c r="D34" s="133">
        <f>B34*C34</f>
        <v>6.36</v>
      </c>
      <c r="E34" s="49"/>
      <c r="F34" s="2"/>
      <c r="G34" s="2"/>
      <c r="H34" s="2"/>
      <c r="I34" s="2"/>
      <c r="J34" s="2"/>
    </row>
    <row r="35" spans="1:10" x14ac:dyDescent="0.3">
      <c r="A35" s="49" t="s">
        <v>228</v>
      </c>
      <c r="B35" s="49">
        <f>'Part Pricing'!C146</f>
        <v>1.7304999999999999</v>
      </c>
      <c r="C35" s="49">
        <v>1</v>
      </c>
      <c r="D35" s="133">
        <f>B35*C35</f>
        <v>1.7304999999999999</v>
      </c>
      <c r="E35" s="49"/>
      <c r="F35" s="2"/>
      <c r="G35" s="2"/>
      <c r="H35" s="2"/>
      <c r="I35" s="2"/>
      <c r="J35" s="2"/>
    </row>
    <row r="36" spans="1:10" x14ac:dyDescent="0.3">
      <c r="A36" s="49" t="s">
        <v>502</v>
      </c>
      <c r="B36" s="49">
        <f>'Part Pricing'!B50</f>
        <v>2.44</v>
      </c>
      <c r="C36" s="49">
        <v>2</v>
      </c>
      <c r="D36" s="133">
        <f>B36*C36</f>
        <v>4.88</v>
      </c>
      <c r="E36" s="49"/>
      <c r="F36" s="2"/>
      <c r="G36" s="2"/>
      <c r="H36" s="2"/>
      <c r="I36" s="2"/>
      <c r="J36" s="2"/>
    </row>
    <row r="37" spans="1:10" x14ac:dyDescent="0.3">
      <c r="A37" s="127" t="s">
        <v>164</v>
      </c>
      <c r="B37" s="49"/>
      <c r="C37" s="49"/>
      <c r="D37" s="133">
        <f>D32+D33+D34+D35+D36</f>
        <v>154.78050000000002</v>
      </c>
      <c r="E37" s="49"/>
      <c r="F37" s="2"/>
      <c r="G37" s="2"/>
      <c r="H37" s="2"/>
      <c r="I37" s="2"/>
      <c r="J37" s="2"/>
    </row>
    <row r="38" spans="1:10" x14ac:dyDescent="0.3">
      <c r="A38" s="4" t="s">
        <v>362</v>
      </c>
      <c r="B38" s="2"/>
      <c r="C38" s="2"/>
      <c r="D38" s="48"/>
      <c r="E38" s="2"/>
      <c r="F38" s="2"/>
      <c r="G38" s="2"/>
      <c r="H38" s="2"/>
      <c r="I38" s="2"/>
      <c r="J38" s="2"/>
    </row>
    <row r="39" spans="1:10" x14ac:dyDescent="0.3">
      <c r="A39" s="2" t="s">
        <v>363</v>
      </c>
      <c r="B39" s="2">
        <v>118.65</v>
      </c>
      <c r="C39" s="2">
        <v>1</v>
      </c>
      <c r="D39" s="48">
        <f>B39*C39</f>
        <v>118.65</v>
      </c>
      <c r="E39" s="2"/>
      <c r="F39" s="2"/>
      <c r="G39" s="2"/>
      <c r="H39" s="2"/>
      <c r="I39" s="2"/>
      <c r="J39" s="2"/>
    </row>
    <row r="40" spans="1:10" x14ac:dyDescent="0.3">
      <c r="A40" s="2" t="s">
        <v>364</v>
      </c>
      <c r="B40" s="2">
        <v>5.0599999999999996</v>
      </c>
      <c r="C40" s="2">
        <v>1</v>
      </c>
      <c r="D40" s="48">
        <f>B40*C40</f>
        <v>5.0599999999999996</v>
      </c>
      <c r="E40" s="2"/>
      <c r="F40" s="2"/>
      <c r="G40" s="2"/>
      <c r="H40" s="2"/>
      <c r="I40" s="2"/>
      <c r="J40" s="2"/>
    </row>
    <row r="41" spans="1:10" x14ac:dyDescent="0.3">
      <c r="A41" s="127" t="s">
        <v>164</v>
      </c>
      <c r="B41" s="49"/>
      <c r="C41" s="49"/>
      <c r="D41" s="133">
        <f>D39+D40</f>
        <v>123.71000000000001</v>
      </c>
      <c r="E41" s="49"/>
      <c r="F41" s="2"/>
      <c r="G41" s="2"/>
      <c r="H41" s="2"/>
      <c r="I41" s="2"/>
      <c r="J41" s="2"/>
    </row>
    <row r="42" spans="1:10" x14ac:dyDescent="0.3">
      <c r="A42" s="127" t="s">
        <v>365</v>
      </c>
      <c r="B42" s="49"/>
      <c r="C42" s="49"/>
      <c r="D42" s="133"/>
      <c r="E42" s="49"/>
      <c r="F42" s="2"/>
      <c r="G42" s="2"/>
      <c r="H42" s="2"/>
      <c r="I42" s="2"/>
      <c r="J42" s="2"/>
    </row>
    <row r="43" spans="1:10" x14ac:dyDescent="0.3">
      <c r="A43" s="49" t="s">
        <v>366</v>
      </c>
      <c r="B43" s="49">
        <v>141.75</v>
      </c>
      <c r="C43" s="49">
        <v>1</v>
      </c>
      <c r="D43" s="133">
        <f>B43*C43</f>
        <v>141.75</v>
      </c>
      <c r="E43" s="49"/>
      <c r="F43" s="2"/>
      <c r="G43" s="2"/>
      <c r="H43" s="2"/>
      <c r="I43" s="2"/>
      <c r="J43" s="2"/>
    </row>
    <row r="44" spans="1:10" x14ac:dyDescent="0.3">
      <c r="A44" s="49" t="s">
        <v>364</v>
      </c>
      <c r="B44" s="49">
        <v>5.0599999999999996</v>
      </c>
      <c r="C44" s="49">
        <v>1</v>
      </c>
      <c r="D44" s="133">
        <f>B44*C44</f>
        <v>5.0599999999999996</v>
      </c>
      <c r="E44" s="49"/>
      <c r="F44" s="2"/>
      <c r="G44" s="2"/>
      <c r="H44" s="2"/>
      <c r="I44" s="2"/>
      <c r="J44" s="2"/>
    </row>
    <row r="45" spans="1:10" x14ac:dyDescent="0.3">
      <c r="A45" s="127" t="s">
        <v>164</v>
      </c>
      <c r="B45" s="49"/>
      <c r="C45" s="49"/>
      <c r="D45" s="133">
        <f>D43+D44</f>
        <v>146.81</v>
      </c>
      <c r="E45" s="49"/>
      <c r="F45" s="2"/>
      <c r="G45" s="2"/>
      <c r="H45" s="2"/>
      <c r="I45" s="2"/>
      <c r="J45" s="2"/>
    </row>
    <row r="46" spans="1:10" x14ac:dyDescent="0.3">
      <c r="A46" s="127"/>
      <c r="B46" s="49"/>
      <c r="C46" s="49"/>
      <c r="D46" s="133"/>
      <c r="E46" s="49"/>
      <c r="F46" s="2"/>
      <c r="G46" s="2"/>
      <c r="H46" s="2"/>
      <c r="I46" s="2"/>
      <c r="J46" s="2"/>
    </row>
    <row r="47" spans="1:10" x14ac:dyDescent="0.3">
      <c r="A47" s="4" t="s">
        <v>361</v>
      </c>
      <c r="B47" s="49"/>
      <c r="C47" s="2"/>
      <c r="D47" s="48"/>
      <c r="E47" s="2"/>
      <c r="F47" s="2"/>
      <c r="G47" s="2"/>
      <c r="H47" s="2"/>
      <c r="I47" s="2"/>
      <c r="J47" s="2"/>
    </row>
    <row r="48" spans="1:10" x14ac:dyDescent="0.3">
      <c r="A48" s="4" t="s">
        <v>360</v>
      </c>
      <c r="B48" s="49"/>
      <c r="C48" s="2"/>
      <c r="D48" s="48"/>
      <c r="E48" s="2"/>
      <c r="F48" s="2"/>
      <c r="G48" s="2"/>
      <c r="H48" s="2"/>
      <c r="I48" s="2"/>
      <c r="J48" s="2"/>
    </row>
    <row r="49" spans="1:10" x14ac:dyDescent="0.3">
      <c r="A49" s="2" t="s">
        <v>178</v>
      </c>
      <c r="B49" s="49">
        <f>'Part Pricing'!B92</f>
        <v>4.67</v>
      </c>
      <c r="C49" s="2">
        <v>1</v>
      </c>
      <c r="D49" s="48">
        <f>B49*C49</f>
        <v>4.67</v>
      </c>
      <c r="E49" s="2"/>
      <c r="F49" s="2"/>
      <c r="G49" s="2"/>
      <c r="H49" s="2"/>
      <c r="I49" s="2"/>
      <c r="J49" s="2"/>
    </row>
    <row r="50" spans="1:10" x14ac:dyDescent="0.3">
      <c r="A50" s="2" t="s">
        <v>341</v>
      </c>
      <c r="B50" s="49">
        <f>'Part Pricing'!B100</f>
        <v>3.67</v>
      </c>
      <c r="C50" s="2">
        <v>1</v>
      </c>
      <c r="D50" s="48">
        <f>B50*C50</f>
        <v>3.67</v>
      </c>
      <c r="E50" s="2"/>
      <c r="F50" s="2"/>
      <c r="G50" s="2"/>
      <c r="H50" s="2"/>
      <c r="I50" s="2"/>
      <c r="J50" s="2"/>
    </row>
    <row r="51" spans="1:10" x14ac:dyDescent="0.3">
      <c r="A51" s="4" t="s">
        <v>164</v>
      </c>
      <c r="B51" s="49"/>
      <c r="C51" s="2"/>
      <c r="D51" s="48">
        <f>D49+D50</f>
        <v>8.34</v>
      </c>
      <c r="E51" s="2"/>
      <c r="F51" s="2"/>
      <c r="G51" s="2"/>
      <c r="H51" s="2"/>
      <c r="I51" s="2"/>
      <c r="J51" s="2"/>
    </row>
    <row r="52" spans="1:10" x14ac:dyDescent="0.3">
      <c r="A52" s="4" t="s">
        <v>483</v>
      </c>
      <c r="B52" s="2"/>
      <c r="C52" s="2"/>
      <c r="D52" s="48"/>
      <c r="E52" s="2"/>
      <c r="F52" s="2"/>
      <c r="G52" s="2"/>
      <c r="H52" s="2"/>
      <c r="I52" s="2"/>
      <c r="J52" s="2"/>
    </row>
    <row r="53" spans="1:10" x14ac:dyDescent="0.3">
      <c r="A53" s="2" t="s">
        <v>178</v>
      </c>
      <c r="B53" s="49">
        <f>'Part Pricing'!B99</f>
        <v>1.52</v>
      </c>
      <c r="C53" s="2">
        <v>1</v>
      </c>
      <c r="D53" s="48">
        <f>B53*C53</f>
        <v>1.52</v>
      </c>
      <c r="E53" s="2"/>
      <c r="F53" s="2"/>
      <c r="G53" s="2"/>
      <c r="H53" s="2"/>
      <c r="I53" s="2"/>
      <c r="J53" s="2"/>
    </row>
    <row r="54" spans="1:10" x14ac:dyDescent="0.3">
      <c r="A54" s="2" t="s">
        <v>341</v>
      </c>
      <c r="B54" s="49">
        <f>'Part Pricing'!B100</f>
        <v>3.67</v>
      </c>
      <c r="C54" s="2">
        <v>1</v>
      </c>
      <c r="D54" s="48">
        <f>B54*C54</f>
        <v>3.67</v>
      </c>
      <c r="E54" s="2"/>
      <c r="F54" s="2"/>
      <c r="G54" s="2"/>
      <c r="H54" s="2"/>
      <c r="I54" s="2"/>
      <c r="J54" s="2"/>
    </row>
    <row r="55" spans="1:10" x14ac:dyDescent="0.3">
      <c r="A55" s="2" t="s">
        <v>179</v>
      </c>
      <c r="B55" s="49">
        <f>'Part Pricing'!B101</f>
        <v>13.69</v>
      </c>
      <c r="C55" s="2">
        <v>1</v>
      </c>
      <c r="D55" s="48">
        <f>B55*C55</f>
        <v>13.69</v>
      </c>
      <c r="E55" s="2"/>
      <c r="F55" s="2"/>
      <c r="G55" s="2"/>
      <c r="H55" s="2"/>
      <c r="I55" s="2"/>
      <c r="J55" s="2"/>
    </row>
    <row r="56" spans="1:10" x14ac:dyDescent="0.3">
      <c r="A56" s="4" t="s">
        <v>164</v>
      </c>
      <c r="B56" s="2"/>
      <c r="C56" s="2"/>
      <c r="D56" s="48">
        <f>D53+D54+D55</f>
        <v>18.88</v>
      </c>
      <c r="E56" s="2"/>
      <c r="F56" s="2"/>
      <c r="G56" s="2"/>
      <c r="H56" s="2"/>
      <c r="I56" s="2"/>
      <c r="J56" s="2"/>
    </row>
    <row r="57" spans="1:10" x14ac:dyDescent="0.3">
      <c r="A57" s="4"/>
      <c r="B57" s="2"/>
      <c r="C57" s="2"/>
      <c r="D57" s="48"/>
      <c r="E57" s="2"/>
      <c r="F57" s="2"/>
      <c r="G57" s="2"/>
      <c r="H57" s="2"/>
      <c r="I57" s="2"/>
      <c r="J57" s="2"/>
    </row>
    <row r="58" spans="1:10" x14ac:dyDescent="0.3">
      <c r="A58" s="4" t="s">
        <v>359</v>
      </c>
      <c r="B58" s="2"/>
      <c r="C58" s="2"/>
      <c r="D58" s="48"/>
      <c r="E58" s="2"/>
      <c r="F58" s="2"/>
      <c r="G58" s="2"/>
      <c r="H58" s="2"/>
      <c r="I58" s="2"/>
      <c r="J58" s="2"/>
    </row>
    <row r="59" spans="1:10" x14ac:dyDescent="0.3">
      <c r="A59" s="127" t="s">
        <v>48</v>
      </c>
      <c r="B59" s="49"/>
      <c r="C59" s="49"/>
      <c r="D59" s="133"/>
      <c r="E59" s="49"/>
      <c r="F59" s="2"/>
      <c r="G59" s="2"/>
      <c r="H59" s="2"/>
      <c r="I59" s="2"/>
      <c r="J59" s="2"/>
    </row>
    <row r="60" spans="1:10" x14ac:dyDescent="0.3">
      <c r="A60" s="49" t="s">
        <v>229</v>
      </c>
      <c r="B60" s="49">
        <f>'Part Pricing'!B131</f>
        <v>135.56</v>
      </c>
      <c r="C60" s="49">
        <v>1</v>
      </c>
      <c r="D60" s="133">
        <f>B60*C60</f>
        <v>135.56</v>
      </c>
      <c r="E60" s="49"/>
      <c r="F60" s="2"/>
      <c r="G60" s="2"/>
      <c r="H60" s="2"/>
      <c r="I60" s="2"/>
      <c r="J60" s="2"/>
    </row>
    <row r="61" spans="1:10" x14ac:dyDescent="0.3">
      <c r="A61" s="49" t="s">
        <v>529</v>
      </c>
      <c r="B61" s="49">
        <f>'Part Pricing'!B124</f>
        <v>0</v>
      </c>
      <c r="C61" s="49">
        <v>1</v>
      </c>
      <c r="D61" s="133">
        <f>B61*C61</f>
        <v>0</v>
      </c>
      <c r="E61" s="49"/>
      <c r="F61" s="2"/>
      <c r="G61" s="2"/>
      <c r="H61" s="2"/>
      <c r="I61" s="2"/>
      <c r="J61" s="2"/>
    </row>
    <row r="62" spans="1:10" x14ac:dyDescent="0.3">
      <c r="A62" s="49" t="s">
        <v>180</v>
      </c>
      <c r="B62" s="49">
        <f>'Part Pricing'!B191</f>
        <v>4.79</v>
      </c>
      <c r="C62" s="49">
        <v>1</v>
      </c>
      <c r="D62" s="133">
        <f>B62*C62</f>
        <v>4.79</v>
      </c>
      <c r="E62" s="49"/>
      <c r="F62" s="2"/>
      <c r="G62" s="2"/>
      <c r="H62" s="2"/>
      <c r="I62" s="2"/>
      <c r="J62" s="2"/>
    </row>
    <row r="63" spans="1:10" x14ac:dyDescent="0.3">
      <c r="A63" s="49" t="s">
        <v>530</v>
      </c>
      <c r="B63" s="49"/>
      <c r="C63" s="49">
        <v>1</v>
      </c>
      <c r="D63" s="133">
        <f>B63*C63</f>
        <v>0</v>
      </c>
      <c r="E63" s="49"/>
      <c r="F63" s="2"/>
      <c r="G63" s="2"/>
      <c r="H63" s="2"/>
      <c r="I63" s="2"/>
      <c r="J63" s="2"/>
    </row>
    <row r="64" spans="1:10" x14ac:dyDescent="0.3">
      <c r="A64" s="127" t="s">
        <v>164</v>
      </c>
      <c r="B64" s="49"/>
      <c r="C64" s="49"/>
      <c r="D64" s="133">
        <f>SUM(D60:D63)</f>
        <v>140.35</v>
      </c>
      <c r="E64" s="49"/>
      <c r="F64" s="2"/>
      <c r="G64" s="2"/>
      <c r="H64" s="2"/>
      <c r="I64" s="2"/>
      <c r="J64" s="2"/>
    </row>
    <row r="65" spans="1:10" x14ac:dyDescent="0.3">
      <c r="A65" s="4" t="s">
        <v>342</v>
      </c>
      <c r="B65" s="2"/>
      <c r="C65" s="2"/>
      <c r="D65" s="48"/>
      <c r="E65" s="2"/>
      <c r="F65" s="2"/>
      <c r="G65" s="2"/>
      <c r="H65" s="2"/>
      <c r="I65" s="2"/>
      <c r="J65" s="2"/>
    </row>
    <row r="66" spans="1:10" x14ac:dyDescent="0.3">
      <c r="A66" s="2" t="s">
        <v>285</v>
      </c>
      <c r="B66" s="2">
        <f>'Part Pricing'!B131</f>
        <v>135.56</v>
      </c>
      <c r="C66" s="2">
        <v>0.5</v>
      </c>
      <c r="D66" s="48">
        <f>B66*C66</f>
        <v>67.78</v>
      </c>
      <c r="E66" s="2"/>
      <c r="F66" s="2"/>
      <c r="G66" s="2"/>
      <c r="H66" s="2"/>
      <c r="I66" s="2"/>
      <c r="J66" s="2"/>
    </row>
    <row r="67" spans="1:10" x14ac:dyDescent="0.3">
      <c r="A67" s="2" t="s">
        <v>283</v>
      </c>
      <c r="B67" s="87">
        <v>3</v>
      </c>
      <c r="C67" s="2">
        <v>5</v>
      </c>
      <c r="D67" s="48">
        <f t="shared" ref="D67:D78" si="0">B67*C67</f>
        <v>15</v>
      </c>
      <c r="E67" s="2"/>
      <c r="F67" s="2"/>
      <c r="G67" s="2"/>
      <c r="H67" s="2"/>
      <c r="I67" s="2"/>
      <c r="J67" s="2"/>
    </row>
    <row r="68" spans="1:10" x14ac:dyDescent="0.3">
      <c r="A68" s="2" t="s">
        <v>86</v>
      </c>
      <c r="B68" s="2">
        <f>'Part Pricing'!B193</f>
        <v>76.69</v>
      </c>
      <c r="C68" s="2">
        <v>1</v>
      </c>
      <c r="D68" s="48">
        <f t="shared" si="0"/>
        <v>76.69</v>
      </c>
      <c r="E68" s="2"/>
      <c r="F68" s="2"/>
      <c r="G68" s="2"/>
      <c r="H68" s="2"/>
      <c r="I68" s="2"/>
      <c r="J68" s="2"/>
    </row>
    <row r="69" spans="1:10" x14ac:dyDescent="0.3">
      <c r="A69" s="2" t="s">
        <v>84</v>
      </c>
      <c r="B69" s="2">
        <f>'Part Pricing'!B196</f>
        <v>74.38</v>
      </c>
      <c r="C69" s="2">
        <v>1</v>
      </c>
      <c r="D69" s="48">
        <f t="shared" si="0"/>
        <v>74.38</v>
      </c>
      <c r="E69" s="2"/>
      <c r="F69" s="2"/>
      <c r="G69" s="2"/>
      <c r="H69" s="2"/>
      <c r="I69" s="2"/>
      <c r="J69" s="2"/>
    </row>
    <row r="70" spans="1:10" x14ac:dyDescent="0.3">
      <c r="A70" s="2" t="s">
        <v>15</v>
      </c>
      <c r="B70" s="2">
        <f>'Part Pricing'!B190</f>
        <v>25.2</v>
      </c>
      <c r="C70" s="2">
        <v>1</v>
      </c>
      <c r="D70" s="48">
        <f t="shared" si="0"/>
        <v>25.2</v>
      </c>
      <c r="E70" s="2"/>
      <c r="F70" s="2"/>
      <c r="G70" s="2"/>
      <c r="H70" s="2"/>
      <c r="I70" s="2"/>
      <c r="J70" s="2"/>
    </row>
    <row r="71" spans="1:10" x14ac:dyDescent="0.3">
      <c r="A71" s="2" t="s">
        <v>279</v>
      </c>
      <c r="B71" s="49">
        <f>'Part Pricing'!C121</f>
        <v>5.5299999999999995E-2</v>
      </c>
      <c r="C71" s="2">
        <v>60</v>
      </c>
      <c r="D71" s="48">
        <f t="shared" si="0"/>
        <v>3.3179999999999996</v>
      </c>
      <c r="E71" s="2"/>
      <c r="F71" s="2"/>
      <c r="G71" s="2"/>
      <c r="H71" s="2"/>
      <c r="I71" s="2"/>
      <c r="J71" s="2"/>
    </row>
    <row r="72" spans="1:10" x14ac:dyDescent="0.3">
      <c r="A72" s="2" t="s">
        <v>280</v>
      </c>
      <c r="B72" s="49">
        <f>'Part Pricing'!C122</f>
        <v>0.13105</v>
      </c>
      <c r="C72" s="2">
        <v>60</v>
      </c>
      <c r="D72" s="48">
        <f t="shared" si="0"/>
        <v>7.8629999999999995</v>
      </c>
      <c r="E72" s="2"/>
      <c r="F72" s="2"/>
      <c r="G72" s="2"/>
      <c r="H72" s="2"/>
      <c r="I72" s="2"/>
      <c r="J72" s="2"/>
    </row>
    <row r="73" spans="1:10" x14ac:dyDescent="0.3">
      <c r="A73" s="2" t="s">
        <v>286</v>
      </c>
      <c r="B73" s="49">
        <f>'Part Pricing'!B125</f>
        <v>5.95</v>
      </c>
      <c r="C73" s="2">
        <v>8</v>
      </c>
      <c r="D73" s="48">
        <f t="shared" si="0"/>
        <v>47.6</v>
      </c>
      <c r="E73" s="2"/>
      <c r="F73" s="2"/>
      <c r="G73" s="2"/>
      <c r="H73" s="2"/>
      <c r="I73" s="2"/>
      <c r="J73" s="2"/>
    </row>
    <row r="74" spans="1:10" x14ac:dyDescent="0.3">
      <c r="A74" s="2" t="s">
        <v>281</v>
      </c>
      <c r="B74" s="49">
        <f>'Part Pricing'!B123</f>
        <v>12.18</v>
      </c>
      <c r="C74" s="2">
        <v>1</v>
      </c>
      <c r="D74" s="48">
        <f t="shared" si="0"/>
        <v>12.18</v>
      </c>
      <c r="E74" s="2"/>
      <c r="F74" s="2"/>
      <c r="G74" s="2"/>
      <c r="H74" s="2"/>
      <c r="I74" s="2"/>
      <c r="J74" s="2"/>
    </row>
    <row r="75" spans="1:10" x14ac:dyDescent="0.3">
      <c r="A75" s="2" t="s">
        <v>284</v>
      </c>
      <c r="B75" s="2">
        <f>'Part Pricing'!C148</f>
        <v>4.4655000000000005</v>
      </c>
      <c r="C75" s="2">
        <v>5</v>
      </c>
      <c r="D75" s="48">
        <f t="shared" si="0"/>
        <v>22.327500000000001</v>
      </c>
      <c r="E75" s="2"/>
      <c r="F75" s="2"/>
      <c r="G75" s="2"/>
      <c r="H75" s="2"/>
      <c r="I75" s="2"/>
      <c r="J75" s="2"/>
    </row>
    <row r="76" spans="1:10" x14ac:dyDescent="0.3">
      <c r="A76" s="2" t="s">
        <v>282</v>
      </c>
      <c r="B76" s="87">
        <v>10</v>
      </c>
      <c r="C76" s="2">
        <v>10</v>
      </c>
      <c r="D76" s="48">
        <f t="shared" si="0"/>
        <v>100</v>
      </c>
      <c r="E76" s="2"/>
      <c r="F76" s="2"/>
      <c r="G76" s="2"/>
      <c r="H76" s="2"/>
      <c r="I76" s="2"/>
      <c r="J76" s="2"/>
    </row>
    <row r="77" spans="1:10" x14ac:dyDescent="0.3">
      <c r="A77" s="2" t="s">
        <v>169</v>
      </c>
      <c r="B77" s="49">
        <f>'Part Pricing'!B158</f>
        <v>3.76</v>
      </c>
      <c r="C77" s="2">
        <v>3</v>
      </c>
      <c r="D77" s="48">
        <f t="shared" si="0"/>
        <v>11.28</v>
      </c>
      <c r="E77" s="2"/>
      <c r="F77" s="2"/>
      <c r="G77" s="2"/>
      <c r="H77" s="2"/>
      <c r="I77" s="2"/>
      <c r="J77" s="2"/>
    </row>
    <row r="78" spans="1:10" x14ac:dyDescent="0.3">
      <c r="A78" s="2" t="s">
        <v>173</v>
      </c>
      <c r="B78" s="49">
        <v>100</v>
      </c>
      <c r="C78" s="2">
        <v>1</v>
      </c>
      <c r="D78" s="48">
        <f t="shared" si="0"/>
        <v>100</v>
      </c>
      <c r="E78" s="2"/>
      <c r="F78" s="2"/>
      <c r="G78" s="2"/>
      <c r="H78" s="2"/>
      <c r="I78" s="2"/>
      <c r="J78" s="2"/>
    </row>
    <row r="79" spans="1:10" x14ac:dyDescent="0.3">
      <c r="A79" s="4" t="s">
        <v>164</v>
      </c>
      <c r="B79" s="2"/>
      <c r="C79" s="2"/>
      <c r="D79" s="48">
        <f>SUM(D66:D78)</f>
        <v>563.61850000000004</v>
      </c>
      <c r="E79" s="2"/>
      <c r="F79" s="2"/>
      <c r="G79" s="2"/>
      <c r="H79" s="2"/>
      <c r="I79" s="2"/>
      <c r="J79" s="2"/>
    </row>
    <row r="80" spans="1:10" x14ac:dyDescent="0.3">
      <c r="A80" s="4" t="s">
        <v>546</v>
      </c>
      <c r="B80" s="2"/>
      <c r="C80" s="2"/>
      <c r="D80" s="48"/>
      <c r="E80" s="2"/>
      <c r="F80" s="2"/>
      <c r="G80" s="2"/>
      <c r="H80" s="2"/>
      <c r="I80" s="2"/>
      <c r="J80" s="2"/>
    </row>
    <row r="81" spans="1:10" x14ac:dyDescent="0.3">
      <c r="A81" s="2" t="s">
        <v>285</v>
      </c>
      <c r="B81" s="2">
        <f>'Part Pricing'!B131</f>
        <v>135.56</v>
      </c>
      <c r="C81" s="2">
        <v>1</v>
      </c>
      <c r="D81" s="48">
        <f>B81*C81</f>
        <v>135.56</v>
      </c>
      <c r="E81" s="2"/>
      <c r="F81" s="2"/>
      <c r="G81" s="2"/>
      <c r="H81" s="2"/>
      <c r="I81" s="2"/>
      <c r="J81" s="2"/>
    </row>
    <row r="82" spans="1:10" x14ac:dyDescent="0.3">
      <c r="A82" s="2" t="s">
        <v>283</v>
      </c>
      <c r="B82" s="87">
        <v>3</v>
      </c>
      <c r="C82" s="2">
        <v>10</v>
      </c>
      <c r="D82" s="48">
        <f t="shared" ref="D82:D93" si="1">B82*C82</f>
        <v>30</v>
      </c>
      <c r="E82" s="2"/>
      <c r="F82" s="2"/>
      <c r="G82" s="2"/>
      <c r="H82" s="2"/>
      <c r="I82" s="2"/>
      <c r="J82" s="2"/>
    </row>
    <row r="83" spans="1:10" x14ac:dyDescent="0.3">
      <c r="A83" s="2" t="s">
        <v>86</v>
      </c>
      <c r="B83" s="2">
        <f>'Part Pricing'!B193</f>
        <v>76.69</v>
      </c>
      <c r="C83" s="2">
        <v>1</v>
      </c>
      <c r="D83" s="48">
        <f t="shared" si="1"/>
        <v>76.69</v>
      </c>
      <c r="E83" s="2"/>
      <c r="F83" s="2"/>
      <c r="G83" s="2"/>
      <c r="H83" s="2"/>
      <c r="I83" s="2"/>
      <c r="J83" s="2"/>
    </row>
    <row r="84" spans="1:10" x14ac:dyDescent="0.3">
      <c r="A84" s="2" t="s">
        <v>84</v>
      </c>
      <c r="B84" s="2">
        <f>'Part Pricing'!B196</f>
        <v>74.38</v>
      </c>
      <c r="C84" s="2">
        <v>1</v>
      </c>
      <c r="D84" s="48">
        <f t="shared" si="1"/>
        <v>74.38</v>
      </c>
      <c r="E84" s="2"/>
      <c r="F84" s="2"/>
      <c r="G84" s="2"/>
      <c r="H84" s="2"/>
      <c r="I84" s="2"/>
      <c r="J84" s="2"/>
    </row>
    <row r="85" spans="1:10" x14ac:dyDescent="0.3">
      <c r="A85" s="2" t="s">
        <v>15</v>
      </c>
      <c r="B85" s="2">
        <f>'Part Pricing'!B190</f>
        <v>25.2</v>
      </c>
      <c r="C85" s="2">
        <v>1</v>
      </c>
      <c r="D85" s="48">
        <f t="shared" si="1"/>
        <v>25.2</v>
      </c>
      <c r="E85" s="2"/>
      <c r="F85" s="2"/>
      <c r="G85" s="2"/>
      <c r="H85" s="2"/>
      <c r="I85" s="2"/>
      <c r="J85" s="2"/>
    </row>
    <row r="86" spans="1:10" x14ac:dyDescent="0.3">
      <c r="A86" s="2" t="s">
        <v>279</v>
      </c>
      <c r="B86" s="49">
        <f>'Part Pricing'!C121</f>
        <v>5.5299999999999995E-2</v>
      </c>
      <c r="C86" s="2">
        <v>100</v>
      </c>
      <c r="D86" s="48">
        <f t="shared" si="1"/>
        <v>5.5299999999999994</v>
      </c>
      <c r="E86" s="2"/>
      <c r="F86" s="2"/>
      <c r="G86" s="2"/>
      <c r="H86" s="2"/>
      <c r="I86" s="2"/>
      <c r="J86" s="2"/>
    </row>
    <row r="87" spans="1:10" x14ac:dyDescent="0.3">
      <c r="A87" s="2" t="s">
        <v>280</v>
      </c>
      <c r="B87" s="49">
        <f>'Part Pricing'!C122</f>
        <v>0.13105</v>
      </c>
      <c r="C87" s="2">
        <v>100</v>
      </c>
      <c r="D87" s="48">
        <f t="shared" si="1"/>
        <v>13.105</v>
      </c>
      <c r="E87" s="2"/>
      <c r="F87" s="2"/>
      <c r="G87" s="2"/>
      <c r="H87" s="2"/>
      <c r="I87" s="2"/>
      <c r="J87" s="2"/>
    </row>
    <row r="88" spans="1:10" x14ac:dyDescent="0.3">
      <c r="A88" s="2" t="s">
        <v>286</v>
      </c>
      <c r="B88" s="49">
        <f>'Part Pricing'!B125</f>
        <v>5.95</v>
      </c>
      <c r="C88" s="2">
        <v>16</v>
      </c>
      <c r="D88" s="48">
        <f t="shared" si="1"/>
        <v>95.2</v>
      </c>
      <c r="E88" s="2"/>
      <c r="F88" s="2"/>
      <c r="G88" s="2"/>
      <c r="H88" s="2"/>
      <c r="I88" s="2"/>
      <c r="J88" s="2"/>
    </row>
    <row r="89" spans="1:10" x14ac:dyDescent="0.3">
      <c r="A89" s="2" t="s">
        <v>281</v>
      </c>
      <c r="B89" s="49">
        <f>'Part Pricing'!B123</f>
        <v>12.18</v>
      </c>
      <c r="C89" s="2">
        <v>1</v>
      </c>
      <c r="D89" s="48">
        <f t="shared" si="1"/>
        <v>12.18</v>
      </c>
      <c r="E89" s="2"/>
      <c r="F89" s="2"/>
      <c r="G89" s="2"/>
      <c r="H89" s="2"/>
      <c r="I89" s="2"/>
      <c r="J89" s="2"/>
    </row>
    <row r="90" spans="1:10" x14ac:dyDescent="0.3">
      <c r="A90" s="2" t="s">
        <v>284</v>
      </c>
      <c r="B90" s="2">
        <f>'Part Pricing'!C148</f>
        <v>4.4655000000000005</v>
      </c>
      <c r="C90" s="2">
        <v>10</v>
      </c>
      <c r="D90" s="48">
        <f t="shared" si="1"/>
        <v>44.655000000000001</v>
      </c>
      <c r="E90" s="2"/>
      <c r="F90" s="2"/>
      <c r="G90" s="2"/>
      <c r="H90" s="2"/>
      <c r="I90" s="2"/>
      <c r="J90" s="2"/>
    </row>
    <row r="91" spans="1:10" x14ac:dyDescent="0.3">
      <c r="A91" s="2" t="s">
        <v>282</v>
      </c>
      <c r="B91" s="87">
        <v>10</v>
      </c>
      <c r="C91" s="2">
        <v>10</v>
      </c>
      <c r="D91" s="48">
        <f t="shared" si="1"/>
        <v>100</v>
      </c>
      <c r="E91" s="2"/>
      <c r="F91" s="2"/>
      <c r="G91" s="2"/>
      <c r="H91" s="2"/>
      <c r="I91" s="2"/>
      <c r="J91" s="2"/>
    </row>
    <row r="92" spans="1:10" x14ac:dyDescent="0.3">
      <c r="A92" s="2" t="s">
        <v>169</v>
      </c>
      <c r="B92" s="49">
        <f>'Part Pricing'!B158</f>
        <v>3.76</v>
      </c>
      <c r="C92" s="2">
        <v>3</v>
      </c>
      <c r="D92" s="48">
        <f t="shared" si="1"/>
        <v>11.28</v>
      </c>
      <c r="E92" s="2"/>
      <c r="F92" s="2"/>
      <c r="G92" s="2"/>
      <c r="H92" s="2"/>
      <c r="I92" s="2"/>
      <c r="J92" s="2"/>
    </row>
    <row r="93" spans="1:10" x14ac:dyDescent="0.3">
      <c r="A93" s="2" t="s">
        <v>173</v>
      </c>
      <c r="B93" s="49">
        <v>100</v>
      </c>
      <c r="C93" s="2">
        <v>1</v>
      </c>
      <c r="D93" s="48">
        <f t="shared" si="1"/>
        <v>100</v>
      </c>
      <c r="E93" s="2"/>
      <c r="F93" s="2"/>
      <c r="G93" s="2"/>
      <c r="H93" s="2"/>
      <c r="I93" s="2"/>
      <c r="J93" s="2"/>
    </row>
    <row r="94" spans="1:10" x14ac:dyDescent="0.3">
      <c r="A94" s="4" t="s">
        <v>164</v>
      </c>
      <c r="B94" s="2"/>
      <c r="C94" s="2"/>
      <c r="D94" s="48">
        <f>SUM(D81:D93)</f>
        <v>723.78</v>
      </c>
      <c r="E94" s="2"/>
      <c r="F94" s="2"/>
      <c r="G94" s="2"/>
      <c r="H94" s="2"/>
      <c r="I94" s="2"/>
      <c r="J94" s="2"/>
    </row>
    <row r="95" spans="1:10" x14ac:dyDescent="0.3">
      <c r="A95" s="127"/>
      <c r="B95" s="49"/>
      <c r="C95" s="49"/>
      <c r="D95" s="133"/>
      <c r="E95" s="49"/>
      <c r="F95" s="2"/>
      <c r="G95" s="2"/>
      <c r="H95" s="2"/>
      <c r="I95" s="2"/>
      <c r="J95" s="2"/>
    </row>
    <row r="96" spans="1:10" x14ac:dyDescent="0.3">
      <c r="A96" s="127" t="s">
        <v>539</v>
      </c>
      <c r="B96" s="49"/>
      <c r="C96" s="49"/>
      <c r="D96" s="133"/>
      <c r="E96" s="49"/>
      <c r="F96" s="2"/>
      <c r="G96" s="2"/>
      <c r="H96" s="2"/>
      <c r="I96" s="2"/>
      <c r="J96" s="2"/>
    </row>
    <row r="97" spans="1:10" x14ac:dyDescent="0.3">
      <c r="A97" s="4" t="s">
        <v>538</v>
      </c>
      <c r="B97" s="2"/>
      <c r="C97" s="2"/>
      <c r="D97" s="48"/>
      <c r="E97" s="2"/>
      <c r="F97" s="2"/>
      <c r="G97" s="2"/>
      <c r="H97" s="2"/>
      <c r="I97" s="2"/>
      <c r="J97" s="2"/>
    </row>
    <row r="98" spans="1:10" x14ac:dyDescent="0.3">
      <c r="A98" s="2" t="s">
        <v>268</v>
      </c>
      <c r="B98" s="2"/>
      <c r="C98" s="2"/>
      <c r="D98" s="48"/>
      <c r="E98" s="2"/>
      <c r="F98" s="2"/>
      <c r="G98" s="2"/>
      <c r="H98" s="2"/>
      <c r="I98" s="2"/>
      <c r="J98" s="2"/>
    </row>
    <row r="99" spans="1:10" x14ac:dyDescent="0.3">
      <c r="A99" s="2" t="s">
        <v>180</v>
      </c>
      <c r="B99" s="2">
        <f>'Part Pricing'!B191</f>
        <v>4.79</v>
      </c>
      <c r="C99" s="2">
        <v>1</v>
      </c>
      <c r="D99" s="48">
        <f>B99*C99</f>
        <v>4.79</v>
      </c>
      <c r="E99" s="2"/>
      <c r="F99" s="2"/>
      <c r="G99" s="2"/>
      <c r="H99" s="2"/>
      <c r="I99" s="2"/>
      <c r="J99" s="2"/>
    </row>
    <row r="100" spans="1:10" x14ac:dyDescent="0.3">
      <c r="A100" s="2" t="s">
        <v>266</v>
      </c>
      <c r="B100" s="49">
        <f>'Part Pricing'!B102</f>
        <v>3.66</v>
      </c>
      <c r="C100" s="2">
        <v>1</v>
      </c>
      <c r="D100" s="48">
        <f>B100*C100</f>
        <v>3.66</v>
      </c>
      <c r="E100" s="2"/>
      <c r="F100" s="2"/>
      <c r="G100" s="2"/>
      <c r="H100" s="2"/>
      <c r="I100" s="2"/>
      <c r="J100" s="2"/>
    </row>
    <row r="101" spans="1:10" x14ac:dyDescent="0.3">
      <c r="A101" s="4" t="s">
        <v>164</v>
      </c>
      <c r="B101" s="2"/>
      <c r="C101" s="2"/>
      <c r="D101" s="48">
        <f>D99+D100</f>
        <v>8.4499999999999993</v>
      </c>
      <c r="E101" s="2"/>
      <c r="F101" s="2"/>
      <c r="G101" s="2"/>
      <c r="H101" s="2"/>
      <c r="I101" s="2"/>
      <c r="J101" s="2"/>
    </row>
    <row r="102" spans="1:10" x14ac:dyDescent="0.3">
      <c r="A102" s="4" t="s">
        <v>267</v>
      </c>
      <c r="B102" s="2"/>
      <c r="C102" s="2"/>
      <c r="D102" s="48"/>
      <c r="E102" s="2"/>
      <c r="F102" s="2"/>
      <c r="G102" s="2"/>
      <c r="H102" s="2"/>
      <c r="I102" s="2"/>
      <c r="J102" s="2"/>
    </row>
    <row r="103" spans="1:10" x14ac:dyDescent="0.3">
      <c r="A103" s="2" t="s">
        <v>180</v>
      </c>
      <c r="B103" s="2">
        <f>'Part Pricing'!B191</f>
        <v>4.79</v>
      </c>
      <c r="C103" s="2">
        <v>2</v>
      </c>
      <c r="D103" s="48">
        <f>B103*C103</f>
        <v>9.58</v>
      </c>
      <c r="E103" s="2"/>
      <c r="F103" s="2"/>
      <c r="G103" s="2"/>
      <c r="H103" s="2"/>
      <c r="I103" s="2"/>
      <c r="J103" s="2"/>
    </row>
    <row r="104" spans="1:10" x14ac:dyDescent="0.3">
      <c r="A104" s="2" t="s">
        <v>269</v>
      </c>
      <c r="B104" s="49">
        <f>'Part Pricing'!B102</f>
        <v>3.66</v>
      </c>
      <c r="C104" s="2">
        <v>2</v>
      </c>
      <c r="D104" s="48">
        <f>B104*C104</f>
        <v>7.32</v>
      </c>
      <c r="E104" s="2"/>
      <c r="F104" s="2"/>
      <c r="G104" s="2"/>
      <c r="H104" s="2"/>
      <c r="I104" s="2"/>
      <c r="J104" s="2"/>
    </row>
    <row r="105" spans="1:10" x14ac:dyDescent="0.3">
      <c r="A105" s="4" t="s">
        <v>164</v>
      </c>
      <c r="B105" s="2"/>
      <c r="C105" s="2"/>
      <c r="D105" s="48">
        <f>D103+D104</f>
        <v>16.899999999999999</v>
      </c>
      <c r="E105" s="2"/>
      <c r="F105" s="2"/>
      <c r="G105" s="2"/>
      <c r="H105" s="2"/>
      <c r="I105" s="2"/>
      <c r="J105" s="2"/>
    </row>
    <row r="106" spans="1:10" x14ac:dyDescent="0.3">
      <c r="A106" s="4" t="s">
        <v>277</v>
      </c>
      <c r="B106" s="2"/>
      <c r="C106" s="2"/>
      <c r="D106" s="48"/>
      <c r="E106" s="2"/>
      <c r="F106" s="2"/>
      <c r="G106" s="2"/>
      <c r="H106" s="2"/>
      <c r="I106" s="2"/>
      <c r="J106" s="2"/>
    </row>
    <row r="107" spans="1:10" x14ac:dyDescent="0.3">
      <c r="A107" s="2" t="s">
        <v>243</v>
      </c>
      <c r="B107" s="2">
        <f>'Part Pricing'!B78</f>
        <v>4.87</v>
      </c>
      <c r="C107" s="2">
        <v>1</v>
      </c>
      <c r="D107" s="48">
        <f>C107*B107</f>
        <v>4.87</v>
      </c>
      <c r="E107" s="2"/>
      <c r="F107" s="2"/>
      <c r="G107" s="2"/>
      <c r="H107" s="2"/>
      <c r="I107" s="2"/>
      <c r="J107" s="2"/>
    </row>
    <row r="108" spans="1:10" x14ac:dyDescent="0.3">
      <c r="A108" s="2" t="s">
        <v>278</v>
      </c>
      <c r="B108" s="2">
        <f>'Part Pricing'!B79</f>
        <v>9.25</v>
      </c>
      <c r="C108" s="2">
        <v>1</v>
      </c>
      <c r="D108" s="48">
        <f>C108*B108</f>
        <v>9.25</v>
      </c>
      <c r="E108" s="2"/>
      <c r="F108" s="2"/>
      <c r="G108" s="2"/>
      <c r="H108" s="2"/>
      <c r="I108" s="2"/>
      <c r="J108" s="2"/>
    </row>
    <row r="109" spans="1:10" x14ac:dyDescent="0.3">
      <c r="A109" s="4" t="s">
        <v>164</v>
      </c>
      <c r="B109" s="2"/>
      <c r="C109" s="2"/>
      <c r="D109" s="48">
        <f>D107+D108</f>
        <v>14.120000000000001</v>
      </c>
      <c r="E109" s="2"/>
      <c r="F109" s="2"/>
      <c r="G109" s="2"/>
      <c r="H109" s="2"/>
      <c r="I109" s="2"/>
      <c r="J109" s="2"/>
    </row>
    <row r="110" spans="1:10" x14ac:dyDescent="0.3">
      <c r="A110" s="4"/>
      <c r="B110" s="2"/>
      <c r="C110" s="2"/>
      <c r="D110" s="48"/>
      <c r="E110" s="2"/>
      <c r="F110" s="2"/>
      <c r="G110" s="2"/>
      <c r="H110" s="2"/>
      <c r="I110" s="2"/>
      <c r="J110" s="2"/>
    </row>
    <row r="111" spans="1:10" x14ac:dyDescent="0.3">
      <c r="A111" s="4" t="s">
        <v>356</v>
      </c>
      <c r="B111" s="2"/>
      <c r="C111" s="2"/>
      <c r="D111" s="48"/>
      <c r="E111" s="2"/>
      <c r="F111" s="2"/>
      <c r="G111" s="2"/>
      <c r="H111" s="2"/>
      <c r="I111" s="2"/>
      <c r="J111" s="2"/>
    </row>
    <row r="112" spans="1:10" x14ac:dyDescent="0.3">
      <c r="A112" s="4" t="s">
        <v>357</v>
      </c>
      <c r="B112" s="2"/>
      <c r="C112" s="2"/>
      <c r="D112" s="48"/>
      <c r="E112" s="2"/>
      <c r="F112" s="2"/>
      <c r="G112" s="2"/>
      <c r="H112" s="2"/>
      <c r="I112" s="2"/>
      <c r="J112" s="2"/>
    </row>
    <row r="113" spans="1:10" x14ac:dyDescent="0.3">
      <c r="A113" s="4" t="s">
        <v>161</v>
      </c>
      <c r="B113" s="2" t="s">
        <v>162</v>
      </c>
      <c r="C113" s="2" t="s">
        <v>163</v>
      </c>
      <c r="D113" s="2" t="s">
        <v>164</v>
      </c>
      <c r="E113" s="2"/>
      <c r="F113" s="2"/>
      <c r="G113" s="2"/>
      <c r="H113" s="2"/>
      <c r="I113" s="2"/>
      <c r="J113" s="2"/>
    </row>
    <row r="114" spans="1:10" x14ac:dyDescent="0.3">
      <c r="A114" s="2" t="s">
        <v>165</v>
      </c>
      <c r="B114" s="2">
        <f>'Part Pricing'!B161</f>
        <v>425.89</v>
      </c>
      <c r="C114" s="2">
        <v>1</v>
      </c>
      <c r="D114" s="48">
        <f>C114*B114</f>
        <v>425.89</v>
      </c>
      <c r="E114" s="2"/>
      <c r="F114" s="2"/>
      <c r="G114" s="2"/>
      <c r="H114" s="2"/>
      <c r="I114" s="2"/>
      <c r="J114" s="2"/>
    </row>
    <row r="115" spans="1:10" x14ac:dyDescent="0.3">
      <c r="A115" s="2" t="s">
        <v>166</v>
      </c>
      <c r="B115" s="2">
        <f>'Part Pricing'!B59</f>
        <v>4.96</v>
      </c>
      <c r="C115" s="2">
        <v>2</v>
      </c>
      <c r="D115" s="48">
        <f t="shared" ref="D115:D124" si="2">C115*B115</f>
        <v>9.92</v>
      </c>
      <c r="E115" s="2"/>
      <c r="F115" s="2"/>
      <c r="G115" s="2"/>
      <c r="H115" s="2"/>
      <c r="I115" s="2"/>
      <c r="J115" s="2"/>
    </row>
    <row r="116" spans="1:10" x14ac:dyDescent="0.3">
      <c r="A116" s="2" t="s">
        <v>167</v>
      </c>
      <c r="B116" s="2">
        <f>'Part Pricing'!B188</f>
        <v>13.29</v>
      </c>
      <c r="C116" s="2">
        <v>1</v>
      </c>
      <c r="D116" s="48">
        <f t="shared" si="2"/>
        <v>13.29</v>
      </c>
      <c r="E116" s="2"/>
      <c r="F116" s="2"/>
      <c r="G116" s="2"/>
      <c r="H116" s="2"/>
      <c r="I116" s="2"/>
      <c r="J116" s="2"/>
    </row>
    <row r="117" spans="1:10" x14ac:dyDescent="0.3">
      <c r="A117" s="2" t="s">
        <v>168</v>
      </c>
      <c r="B117" s="2">
        <f>'Part Pricing'!B152</f>
        <v>6.51</v>
      </c>
      <c r="C117" s="2">
        <v>2</v>
      </c>
      <c r="D117" s="48">
        <f t="shared" si="2"/>
        <v>13.02</v>
      </c>
      <c r="E117" s="2"/>
      <c r="F117" s="2"/>
      <c r="G117" s="2"/>
      <c r="H117" s="2"/>
      <c r="I117" s="2"/>
      <c r="J117" s="2"/>
    </row>
    <row r="118" spans="1:10" x14ac:dyDescent="0.3">
      <c r="A118" s="2" t="s">
        <v>169</v>
      </c>
      <c r="B118" s="2">
        <f>'Part Pricing'!B158</f>
        <v>3.76</v>
      </c>
      <c r="C118" s="2">
        <v>1</v>
      </c>
      <c r="D118" s="48">
        <f t="shared" si="2"/>
        <v>3.76</v>
      </c>
      <c r="E118" s="2"/>
      <c r="F118" s="2"/>
      <c r="G118" s="2"/>
      <c r="H118" s="2"/>
      <c r="I118" s="2"/>
      <c r="J118" s="2"/>
    </row>
    <row r="119" spans="1:10" x14ac:dyDescent="0.3">
      <c r="A119" s="2" t="s">
        <v>170</v>
      </c>
      <c r="B119" s="2">
        <f>'Part Pricing'!B167</f>
        <v>17.95</v>
      </c>
      <c r="C119" s="2">
        <v>1</v>
      </c>
      <c r="D119" s="48">
        <f t="shared" si="2"/>
        <v>17.95</v>
      </c>
      <c r="E119" s="2"/>
      <c r="F119" s="2"/>
      <c r="G119" s="2"/>
      <c r="H119" s="2"/>
      <c r="I119" s="2"/>
      <c r="J119" s="2"/>
    </row>
    <row r="120" spans="1:10" x14ac:dyDescent="0.3">
      <c r="A120" s="2" t="s">
        <v>171</v>
      </c>
      <c r="B120" s="2">
        <f>'Part Pricing'!E148</f>
        <v>0.67149999999999999</v>
      </c>
      <c r="C120" s="2">
        <v>5</v>
      </c>
      <c r="D120" s="48">
        <f t="shared" si="2"/>
        <v>3.3574999999999999</v>
      </c>
      <c r="E120" s="2"/>
      <c r="F120" s="2"/>
      <c r="G120" s="2"/>
      <c r="H120" s="2"/>
      <c r="I120" s="2"/>
      <c r="J120" s="2"/>
    </row>
    <row r="121" spans="1:10" x14ac:dyDescent="0.3">
      <c r="A121" s="2" t="s">
        <v>172</v>
      </c>
      <c r="B121" s="2">
        <f>'Part Pricing'!D67</f>
        <v>0.61</v>
      </c>
      <c r="C121" s="2">
        <v>2</v>
      </c>
      <c r="D121" s="48">
        <f t="shared" si="2"/>
        <v>1.22</v>
      </c>
      <c r="E121" s="2"/>
      <c r="F121" s="2"/>
      <c r="G121" s="2"/>
      <c r="H121" s="2"/>
      <c r="I121" s="2"/>
      <c r="J121" s="2"/>
    </row>
    <row r="122" spans="1:10" x14ac:dyDescent="0.3">
      <c r="A122" s="2" t="s">
        <v>261</v>
      </c>
      <c r="B122" s="2">
        <f>'Part Pricing'!B176</f>
        <v>5</v>
      </c>
      <c r="C122" s="2">
        <v>1</v>
      </c>
      <c r="D122" s="48">
        <f t="shared" si="2"/>
        <v>5</v>
      </c>
      <c r="E122" s="2"/>
      <c r="F122" s="2"/>
      <c r="G122" s="2"/>
      <c r="H122" s="2"/>
      <c r="I122" s="2"/>
      <c r="J122" s="2"/>
    </row>
    <row r="123" spans="1:10" x14ac:dyDescent="0.3">
      <c r="A123" s="2" t="s">
        <v>262</v>
      </c>
      <c r="B123" s="2">
        <f>'Part Pricing'!B175</f>
        <v>11.12</v>
      </c>
      <c r="C123" s="2">
        <v>1</v>
      </c>
      <c r="D123" s="48">
        <f t="shared" si="2"/>
        <v>11.12</v>
      </c>
      <c r="E123" s="2"/>
      <c r="F123" s="2"/>
      <c r="G123" s="2"/>
      <c r="H123" s="2"/>
      <c r="I123" s="2"/>
      <c r="J123" s="2"/>
    </row>
    <row r="124" spans="1:10" x14ac:dyDescent="0.3">
      <c r="A124" s="2" t="s">
        <v>173</v>
      </c>
      <c r="B124" s="2">
        <v>100</v>
      </c>
      <c r="C124" s="2">
        <v>1</v>
      </c>
      <c r="D124" s="48">
        <f t="shared" si="2"/>
        <v>100</v>
      </c>
      <c r="E124" s="2" t="s">
        <v>263</v>
      </c>
      <c r="F124" s="2" t="s">
        <v>264</v>
      </c>
      <c r="G124" s="2" t="s">
        <v>265</v>
      </c>
      <c r="H124" s="2" t="s">
        <v>287</v>
      </c>
      <c r="I124" s="2" t="s">
        <v>288</v>
      </c>
      <c r="J124" s="2" t="s">
        <v>289</v>
      </c>
    </row>
    <row r="125" spans="1:10" x14ac:dyDescent="0.3">
      <c r="A125" s="4" t="s">
        <v>164</v>
      </c>
      <c r="B125" s="48"/>
      <c r="C125" s="48"/>
      <c r="D125" s="48">
        <f>SUM(D114:D124)</f>
        <v>604.52750000000003</v>
      </c>
      <c r="E125" s="48">
        <f>D125</f>
        <v>604.52750000000003</v>
      </c>
      <c r="F125" s="48">
        <f>D114+D118+D119++D120+D121+D122+D123+D124</f>
        <v>568.29750000000001</v>
      </c>
      <c r="G125" s="48">
        <f>D114+D124</f>
        <v>525.89</v>
      </c>
      <c r="H125" s="48">
        <f>D115+D116+D117+D118+D119+D120+D121+D122+D123+D124</f>
        <v>178.63749999999999</v>
      </c>
      <c r="I125" s="48">
        <v>1100.1400000000001</v>
      </c>
      <c r="J125" s="48">
        <f>H125+I125</f>
        <v>1278.7775000000001</v>
      </c>
    </row>
    <row r="126" spans="1:10" x14ac:dyDescent="0.3">
      <c r="A126" s="4" t="s">
        <v>63</v>
      </c>
      <c r="B126" s="48"/>
      <c r="C126" s="48"/>
      <c r="D126" s="48"/>
      <c r="E126" s="2"/>
      <c r="F126" s="2"/>
      <c r="G126" s="2"/>
      <c r="H126" s="2"/>
      <c r="I126" s="2"/>
      <c r="J126" s="2"/>
    </row>
    <row r="127" spans="1:10" x14ac:dyDescent="0.3">
      <c r="A127" s="4" t="s">
        <v>174</v>
      </c>
      <c r="B127" s="2" t="s">
        <v>162</v>
      </c>
      <c r="C127" s="2" t="s">
        <v>163</v>
      </c>
      <c r="D127" s="48" t="s">
        <v>164</v>
      </c>
      <c r="E127" s="2"/>
      <c r="F127" s="2"/>
      <c r="G127" s="2"/>
      <c r="H127" s="2"/>
      <c r="I127" s="2"/>
      <c r="J127" s="2"/>
    </row>
    <row r="128" spans="1:10" x14ac:dyDescent="0.3">
      <c r="A128" s="2" t="s">
        <v>165</v>
      </c>
      <c r="B128" s="2">
        <f>'Part Pricing'!B162</f>
        <v>465.33</v>
      </c>
      <c r="C128" s="2">
        <v>1</v>
      </c>
      <c r="D128" s="48">
        <f>B128*C128</f>
        <v>465.33</v>
      </c>
      <c r="E128" s="2"/>
      <c r="F128" s="2"/>
      <c r="G128" s="2"/>
      <c r="H128" s="2"/>
      <c r="I128" s="2"/>
      <c r="J128" s="2"/>
    </row>
    <row r="129" spans="1:10" x14ac:dyDescent="0.3">
      <c r="A129" s="2" t="s">
        <v>166</v>
      </c>
      <c r="B129" s="2">
        <f>'Part Pricing'!B59</f>
        <v>4.96</v>
      </c>
      <c r="C129" s="2">
        <v>2</v>
      </c>
      <c r="D129" s="48">
        <f t="shared" ref="D129:D138" si="3">B129*C129</f>
        <v>9.92</v>
      </c>
      <c r="E129" s="2"/>
      <c r="F129" s="2"/>
      <c r="G129" s="2"/>
      <c r="H129" s="2"/>
      <c r="I129" s="2"/>
      <c r="J129" s="2"/>
    </row>
    <row r="130" spans="1:10" x14ac:dyDescent="0.3">
      <c r="A130" s="2" t="s">
        <v>167</v>
      </c>
      <c r="B130" s="2">
        <f>'Part Pricing'!B188</f>
        <v>13.29</v>
      </c>
      <c r="C130" s="2">
        <v>1</v>
      </c>
      <c r="D130" s="48">
        <f t="shared" si="3"/>
        <v>13.29</v>
      </c>
      <c r="E130" s="2"/>
      <c r="F130" s="2"/>
      <c r="G130" s="2"/>
      <c r="H130" s="2"/>
      <c r="I130" s="2"/>
      <c r="J130" s="2"/>
    </row>
    <row r="131" spans="1:10" x14ac:dyDescent="0.3">
      <c r="A131" s="2" t="s">
        <v>168</v>
      </c>
      <c r="B131" s="2">
        <f>'Part Pricing'!B152</f>
        <v>6.51</v>
      </c>
      <c r="C131" s="2">
        <v>2</v>
      </c>
      <c r="D131" s="48">
        <f t="shared" si="3"/>
        <v>13.02</v>
      </c>
      <c r="E131" s="2"/>
      <c r="F131" s="2"/>
      <c r="G131" s="2"/>
      <c r="H131" s="2"/>
      <c r="I131" s="2"/>
      <c r="J131" s="2"/>
    </row>
    <row r="132" spans="1:10" x14ac:dyDescent="0.3">
      <c r="A132" s="2" t="s">
        <v>169</v>
      </c>
      <c r="B132" s="2">
        <f>'Part Pricing'!B158</f>
        <v>3.76</v>
      </c>
      <c r="C132" s="2">
        <v>1</v>
      </c>
      <c r="D132" s="48">
        <f t="shared" si="3"/>
        <v>3.76</v>
      </c>
      <c r="E132" s="2"/>
      <c r="F132" s="2"/>
      <c r="G132" s="2"/>
      <c r="H132" s="2"/>
      <c r="I132" s="2"/>
      <c r="J132" s="2"/>
    </row>
    <row r="133" spans="1:10" x14ac:dyDescent="0.3">
      <c r="A133" s="2" t="s">
        <v>170</v>
      </c>
      <c r="B133" s="2">
        <f>'Part Pricing'!B167</f>
        <v>17.95</v>
      </c>
      <c r="C133" s="2">
        <v>1</v>
      </c>
      <c r="D133" s="48">
        <f t="shared" si="3"/>
        <v>17.95</v>
      </c>
      <c r="E133" s="2"/>
      <c r="F133" s="2"/>
      <c r="G133" s="2"/>
      <c r="H133" s="2"/>
      <c r="I133" s="2"/>
      <c r="J133" s="2"/>
    </row>
    <row r="134" spans="1:10" x14ac:dyDescent="0.3">
      <c r="A134" s="2" t="s">
        <v>171</v>
      </c>
      <c r="B134" s="2">
        <f>'Part Pricing'!E148</f>
        <v>0.67149999999999999</v>
      </c>
      <c r="C134" s="2">
        <v>4</v>
      </c>
      <c r="D134" s="48">
        <f t="shared" si="3"/>
        <v>2.6859999999999999</v>
      </c>
      <c r="E134" s="2"/>
      <c r="F134" s="2"/>
      <c r="G134" s="2"/>
      <c r="H134" s="2"/>
      <c r="I134" s="2"/>
      <c r="J134" s="2"/>
    </row>
    <row r="135" spans="1:10" x14ac:dyDescent="0.3">
      <c r="A135" s="2" t="s">
        <v>172</v>
      </c>
      <c r="B135" s="2">
        <f>'Part Pricing'!D67</f>
        <v>0.61</v>
      </c>
      <c r="C135" s="2">
        <v>5</v>
      </c>
      <c r="D135" s="48">
        <f t="shared" si="3"/>
        <v>3.05</v>
      </c>
      <c r="E135" s="2"/>
      <c r="F135" s="2"/>
      <c r="G135" s="2"/>
      <c r="H135" s="2"/>
      <c r="I135" s="2"/>
      <c r="J135" s="2"/>
    </row>
    <row r="136" spans="1:10" x14ac:dyDescent="0.3">
      <c r="A136" s="2" t="s">
        <v>261</v>
      </c>
      <c r="B136" s="2">
        <f>'Part Pricing'!B176</f>
        <v>5</v>
      </c>
      <c r="C136" s="2">
        <v>1</v>
      </c>
      <c r="D136" s="48">
        <f t="shared" si="3"/>
        <v>5</v>
      </c>
      <c r="E136" s="2"/>
      <c r="F136" s="2"/>
      <c r="G136" s="2"/>
      <c r="H136" s="2"/>
      <c r="I136" s="2"/>
      <c r="J136" s="2"/>
    </row>
    <row r="137" spans="1:10" x14ac:dyDescent="0.3">
      <c r="A137" s="2" t="s">
        <v>262</v>
      </c>
      <c r="B137" s="2">
        <f>'Part Pricing'!B176</f>
        <v>5</v>
      </c>
      <c r="C137" s="2">
        <v>1</v>
      </c>
      <c r="D137" s="48">
        <f t="shared" si="3"/>
        <v>5</v>
      </c>
      <c r="E137" s="2"/>
      <c r="F137" s="2"/>
      <c r="G137" s="2"/>
      <c r="H137" s="2"/>
      <c r="I137" s="2"/>
      <c r="J137" s="2"/>
    </row>
    <row r="138" spans="1:10" x14ac:dyDescent="0.3">
      <c r="A138" s="2" t="s">
        <v>173</v>
      </c>
      <c r="B138" s="2">
        <v>100</v>
      </c>
      <c r="C138" s="2">
        <v>1</v>
      </c>
      <c r="D138" s="48">
        <f t="shared" si="3"/>
        <v>100</v>
      </c>
      <c r="E138" s="2" t="s">
        <v>263</v>
      </c>
      <c r="F138" s="2" t="s">
        <v>264</v>
      </c>
      <c r="G138" s="2" t="s">
        <v>265</v>
      </c>
      <c r="H138" s="2" t="s">
        <v>287</v>
      </c>
      <c r="I138" s="2" t="s">
        <v>288</v>
      </c>
      <c r="J138" s="2" t="s">
        <v>289</v>
      </c>
    </row>
    <row r="139" spans="1:10" x14ac:dyDescent="0.3">
      <c r="A139" s="4" t="s">
        <v>164</v>
      </c>
      <c r="B139" s="2"/>
      <c r="C139" s="2"/>
      <c r="D139" s="48">
        <f>SUM(D128:D138)</f>
        <v>639.00599999999997</v>
      </c>
      <c r="E139" s="48">
        <f>D139</f>
        <v>639.00599999999997</v>
      </c>
      <c r="F139" s="48">
        <f>D128+D132+D133+D134+D135+D136+D137+D138</f>
        <v>602.77599999999995</v>
      </c>
      <c r="G139" s="48">
        <f>D128+D138</f>
        <v>565.32999999999993</v>
      </c>
      <c r="H139" s="48">
        <f>SUM(D129:D138)</f>
        <v>173.67599999999999</v>
      </c>
      <c r="I139" s="2">
        <v>1200.1500000000001</v>
      </c>
      <c r="J139" s="48">
        <f>H139+I139</f>
        <v>1373.826</v>
      </c>
    </row>
    <row r="140" spans="1:10" x14ac:dyDescent="0.3">
      <c r="A140" s="4" t="s">
        <v>358</v>
      </c>
      <c r="B140" s="2"/>
      <c r="C140" s="2"/>
      <c r="D140" s="48"/>
      <c r="E140" s="2"/>
      <c r="F140" s="2"/>
      <c r="G140" s="2"/>
      <c r="H140" s="2"/>
      <c r="I140" s="2"/>
      <c r="J140" s="2"/>
    </row>
    <row r="141" spans="1:10" x14ac:dyDescent="0.3">
      <c r="A141" s="4" t="s">
        <v>175</v>
      </c>
      <c r="B141" s="2" t="s">
        <v>162</v>
      </c>
      <c r="C141" s="2" t="s">
        <v>163</v>
      </c>
      <c r="D141" s="48" t="s">
        <v>164</v>
      </c>
      <c r="E141" s="2"/>
      <c r="F141" s="2"/>
      <c r="G141" s="2"/>
      <c r="H141" s="2"/>
      <c r="I141" s="2"/>
      <c r="J141" s="2"/>
    </row>
    <row r="142" spans="1:10" x14ac:dyDescent="0.3">
      <c r="A142" s="2" t="s">
        <v>165</v>
      </c>
      <c r="B142" s="2">
        <f>'Part Pricing'!B163</f>
        <v>967.23</v>
      </c>
      <c r="C142" s="2">
        <v>1</v>
      </c>
      <c r="D142" s="48">
        <f>B142*C142</f>
        <v>967.23</v>
      </c>
      <c r="E142" s="2"/>
      <c r="F142" s="2"/>
      <c r="G142" s="2"/>
      <c r="H142" s="2"/>
      <c r="I142" s="2"/>
      <c r="J142" s="2"/>
    </row>
    <row r="143" spans="1:10" x14ac:dyDescent="0.3">
      <c r="A143" s="2" t="s">
        <v>270</v>
      </c>
      <c r="B143" s="2">
        <f>'Part Pricing'!B71</f>
        <v>9.26</v>
      </c>
      <c r="C143" s="2">
        <v>2</v>
      </c>
      <c r="D143" s="48">
        <f t="shared" ref="D143:D152" si="4">B143*C143</f>
        <v>18.52</v>
      </c>
      <c r="E143" s="2"/>
      <c r="F143" s="2"/>
      <c r="G143" s="2"/>
      <c r="H143" s="2"/>
      <c r="I143" s="2"/>
      <c r="J143" s="2"/>
    </row>
    <row r="144" spans="1:10" x14ac:dyDescent="0.3">
      <c r="A144" s="2" t="s">
        <v>271</v>
      </c>
      <c r="B144" s="2">
        <f>'Part Pricing'!B190</f>
        <v>25.2</v>
      </c>
      <c r="C144" s="2">
        <v>1</v>
      </c>
      <c r="D144" s="48">
        <f t="shared" si="4"/>
        <v>25.2</v>
      </c>
      <c r="E144" s="2"/>
      <c r="F144" s="2"/>
      <c r="G144" s="2"/>
      <c r="H144" s="2"/>
      <c r="I144" s="2"/>
      <c r="J144" s="2"/>
    </row>
    <row r="145" spans="1:10" x14ac:dyDescent="0.3">
      <c r="A145" s="2" t="s">
        <v>272</v>
      </c>
      <c r="B145" s="49">
        <f>'Part Pricing'!B155</f>
        <v>20.75</v>
      </c>
      <c r="C145" s="2">
        <v>2</v>
      </c>
      <c r="D145" s="48">
        <f t="shared" si="4"/>
        <v>41.5</v>
      </c>
      <c r="E145" s="2"/>
      <c r="F145" s="2"/>
      <c r="G145" s="2"/>
      <c r="H145" s="2"/>
      <c r="I145" s="2"/>
      <c r="J145" s="2"/>
    </row>
    <row r="146" spans="1:10" x14ac:dyDescent="0.3">
      <c r="A146" s="2" t="s">
        <v>169</v>
      </c>
      <c r="B146" s="2">
        <f>'Part Pricing'!B158</f>
        <v>3.76</v>
      </c>
      <c r="C146" s="2">
        <v>1</v>
      </c>
      <c r="D146" s="48">
        <f t="shared" si="4"/>
        <v>3.76</v>
      </c>
      <c r="E146" s="2"/>
      <c r="F146" s="2"/>
      <c r="G146" s="2"/>
      <c r="H146" s="2"/>
      <c r="I146" s="2"/>
      <c r="J146" s="2"/>
    </row>
    <row r="147" spans="1:10" x14ac:dyDescent="0.3">
      <c r="A147" s="2" t="s">
        <v>170</v>
      </c>
      <c r="B147" s="2">
        <f>'Part Pricing'!B167</f>
        <v>17.95</v>
      </c>
      <c r="C147" s="2">
        <v>1</v>
      </c>
      <c r="D147" s="48">
        <f t="shared" si="4"/>
        <v>17.95</v>
      </c>
      <c r="E147" s="2"/>
      <c r="F147" s="2"/>
      <c r="G147" s="2"/>
      <c r="H147" s="2"/>
      <c r="I147" s="2"/>
      <c r="J147" s="2"/>
    </row>
    <row r="148" spans="1:10" x14ac:dyDescent="0.3">
      <c r="A148" s="2" t="s">
        <v>171</v>
      </c>
      <c r="B148" s="2">
        <f>'Part Pricing'!E148</f>
        <v>0.67149999999999999</v>
      </c>
      <c r="C148" s="2">
        <v>5</v>
      </c>
      <c r="D148" s="48">
        <f t="shared" si="4"/>
        <v>3.3574999999999999</v>
      </c>
      <c r="E148" s="2"/>
      <c r="F148" s="2"/>
      <c r="G148" s="2"/>
      <c r="H148" s="2"/>
      <c r="I148" s="2"/>
      <c r="J148" s="2"/>
    </row>
    <row r="149" spans="1:10" x14ac:dyDescent="0.3">
      <c r="A149" s="2" t="s">
        <v>172</v>
      </c>
      <c r="B149" s="2">
        <f>'Part Pricing'!D68</f>
        <v>0.93</v>
      </c>
      <c r="C149" s="2">
        <v>2</v>
      </c>
      <c r="D149" s="48">
        <f t="shared" si="4"/>
        <v>1.86</v>
      </c>
      <c r="E149" s="2"/>
      <c r="F149" s="2"/>
      <c r="G149" s="2"/>
      <c r="H149" s="2"/>
      <c r="I149" s="2"/>
      <c r="J149" s="2"/>
    </row>
    <row r="150" spans="1:10" x14ac:dyDescent="0.3">
      <c r="A150" s="2" t="s">
        <v>261</v>
      </c>
      <c r="B150" s="2">
        <f>'Part Pricing'!B176</f>
        <v>5</v>
      </c>
      <c r="C150" s="2">
        <v>1</v>
      </c>
      <c r="D150" s="48">
        <f t="shared" si="4"/>
        <v>5</v>
      </c>
      <c r="E150" s="2"/>
      <c r="F150" s="2"/>
      <c r="G150" s="2"/>
      <c r="H150" s="2"/>
      <c r="I150" s="2"/>
      <c r="J150" s="2"/>
    </row>
    <row r="151" spans="1:10" x14ac:dyDescent="0.3">
      <c r="A151" s="2" t="s">
        <v>262</v>
      </c>
      <c r="B151" s="2">
        <f>'Part Pricing'!B175</f>
        <v>11.12</v>
      </c>
      <c r="C151" s="2">
        <v>1</v>
      </c>
      <c r="D151" s="48">
        <f t="shared" si="4"/>
        <v>11.12</v>
      </c>
      <c r="E151" s="2"/>
      <c r="F151" s="2"/>
      <c r="G151" s="2"/>
      <c r="H151" s="2"/>
      <c r="I151" s="2"/>
      <c r="J151" s="2"/>
    </row>
    <row r="152" spans="1:10" x14ac:dyDescent="0.3">
      <c r="A152" s="2" t="s">
        <v>173</v>
      </c>
      <c r="B152" s="2">
        <v>100</v>
      </c>
      <c r="C152" s="2">
        <v>1</v>
      </c>
      <c r="D152" s="48">
        <f t="shared" si="4"/>
        <v>100</v>
      </c>
      <c r="E152" s="2" t="s">
        <v>263</v>
      </c>
      <c r="F152" s="2" t="s">
        <v>273</v>
      </c>
      <c r="G152" s="2" t="s">
        <v>265</v>
      </c>
      <c r="H152" s="2" t="s">
        <v>287</v>
      </c>
      <c r="I152" s="2" t="s">
        <v>288</v>
      </c>
      <c r="J152" s="2" t="s">
        <v>289</v>
      </c>
    </row>
    <row r="153" spans="1:10" x14ac:dyDescent="0.3">
      <c r="A153" s="4" t="s">
        <v>164</v>
      </c>
      <c r="B153" s="2"/>
      <c r="C153" s="2"/>
      <c r="D153" s="48">
        <f>SUM(D142:D152)</f>
        <v>1195.4974999999999</v>
      </c>
      <c r="E153" s="48">
        <f>D153</f>
        <v>1195.4974999999999</v>
      </c>
      <c r="F153" s="48">
        <f>D142+D146+D147+D148+D149+D152+D150+D151</f>
        <v>1110.2774999999999</v>
      </c>
      <c r="G153" s="48">
        <f>D142+D152</f>
        <v>1067.23</v>
      </c>
      <c r="H153" s="48">
        <f>SUM(D143:D152)</f>
        <v>228.26750000000001</v>
      </c>
      <c r="I153" s="2"/>
      <c r="J153" s="2"/>
    </row>
    <row r="154" spans="1:10" x14ac:dyDescent="0.3">
      <c r="A154" s="127" t="s">
        <v>347</v>
      </c>
      <c r="B154" s="49"/>
      <c r="C154" s="49"/>
      <c r="D154" s="133"/>
      <c r="E154" s="49"/>
      <c r="F154" s="2"/>
      <c r="G154" s="2"/>
      <c r="H154" s="2"/>
      <c r="I154" s="2"/>
      <c r="J154" s="2"/>
    </row>
    <row r="155" spans="1:10" x14ac:dyDescent="0.3">
      <c r="A155" s="49" t="s">
        <v>165</v>
      </c>
      <c r="B155" s="49">
        <f>'Part Pricing'!B180</f>
        <v>933.49</v>
      </c>
      <c r="C155" s="49">
        <v>1</v>
      </c>
      <c r="D155" s="133">
        <f>B155*C155</f>
        <v>933.49</v>
      </c>
      <c r="E155" s="49"/>
      <c r="F155" s="2"/>
      <c r="G155" s="2"/>
      <c r="H155" s="2"/>
      <c r="I155" s="2"/>
      <c r="J155" s="2"/>
    </row>
    <row r="156" spans="1:10" x14ac:dyDescent="0.3">
      <c r="A156" s="49" t="s">
        <v>514</v>
      </c>
      <c r="B156" s="49">
        <f>'Part Pricing'!C147</f>
        <v>2.9790000000000001</v>
      </c>
      <c r="C156" s="49">
        <v>15</v>
      </c>
      <c r="D156" s="133"/>
      <c r="E156" s="49"/>
      <c r="F156" s="2"/>
      <c r="G156" s="2"/>
      <c r="H156" s="2"/>
      <c r="I156" s="2"/>
      <c r="J156" s="2"/>
    </row>
    <row r="157" spans="1:10" x14ac:dyDescent="0.3">
      <c r="A157" s="49" t="s">
        <v>193</v>
      </c>
      <c r="B157" s="49">
        <f>'Part Pricing'!B152</f>
        <v>6.51</v>
      </c>
      <c r="C157" s="49">
        <v>3</v>
      </c>
      <c r="D157" s="133">
        <f>B157*C157</f>
        <v>19.53</v>
      </c>
      <c r="E157" s="49"/>
      <c r="F157" s="2"/>
      <c r="G157" s="2"/>
      <c r="H157" s="2"/>
      <c r="I157" s="2"/>
      <c r="J157" s="2"/>
    </row>
    <row r="158" spans="1:10" x14ac:dyDescent="0.3">
      <c r="A158" s="49" t="s">
        <v>166</v>
      </c>
      <c r="B158" s="49">
        <f>'Part Pricing'!B59</f>
        <v>4.96</v>
      </c>
      <c r="C158" s="49">
        <v>3</v>
      </c>
      <c r="D158" s="133">
        <f>B158*C158</f>
        <v>14.879999999999999</v>
      </c>
      <c r="E158" s="49"/>
      <c r="F158" s="2"/>
      <c r="G158" s="2"/>
      <c r="H158" s="2"/>
      <c r="I158" s="2"/>
      <c r="J158" s="2"/>
    </row>
    <row r="159" spans="1:10" x14ac:dyDescent="0.3">
      <c r="A159" s="49" t="s">
        <v>392</v>
      </c>
      <c r="B159" s="49"/>
      <c r="C159" s="49">
        <v>1</v>
      </c>
      <c r="D159" s="133"/>
      <c r="E159" s="49"/>
      <c r="F159" s="2"/>
      <c r="G159" s="2"/>
      <c r="H159" s="2"/>
      <c r="I159" s="2"/>
      <c r="J159" s="2"/>
    </row>
    <row r="160" spans="1:10" x14ac:dyDescent="0.3">
      <c r="A160" s="49" t="s">
        <v>511</v>
      </c>
      <c r="B160" s="49">
        <f>'Part Pricing'!B81</f>
        <v>16.8</v>
      </c>
      <c r="C160" s="49">
        <v>1</v>
      </c>
      <c r="D160" s="133"/>
      <c r="E160" s="49"/>
      <c r="F160" s="2"/>
      <c r="G160" s="2"/>
      <c r="H160" s="2"/>
      <c r="I160" s="2"/>
      <c r="J160" s="2"/>
    </row>
    <row r="161" spans="1:10" x14ac:dyDescent="0.3">
      <c r="A161" s="49" t="s">
        <v>512</v>
      </c>
      <c r="B161" s="49"/>
      <c r="C161" s="49">
        <v>5</v>
      </c>
      <c r="D161" s="133"/>
      <c r="E161" s="49"/>
      <c r="F161" s="2"/>
      <c r="G161" s="2"/>
      <c r="H161" s="2"/>
      <c r="I161" s="2"/>
      <c r="J161" s="2"/>
    </row>
    <row r="162" spans="1:10" x14ac:dyDescent="0.3">
      <c r="A162" s="49" t="s">
        <v>513</v>
      </c>
      <c r="B162" s="49"/>
      <c r="C162" s="49">
        <v>1</v>
      </c>
      <c r="D162" s="133"/>
      <c r="E162" s="49"/>
      <c r="F162" s="2"/>
      <c r="G162" s="2"/>
      <c r="H162" s="2"/>
      <c r="I162" s="2"/>
      <c r="J162" s="2"/>
    </row>
    <row r="163" spans="1:10" x14ac:dyDescent="0.3">
      <c r="A163" s="49" t="s">
        <v>169</v>
      </c>
      <c r="B163" s="49">
        <f>'Part Pricing'!B158</f>
        <v>3.76</v>
      </c>
      <c r="C163" s="49">
        <v>1</v>
      </c>
      <c r="D163" s="133"/>
      <c r="E163" s="49"/>
      <c r="F163" s="2"/>
      <c r="G163" s="2"/>
      <c r="H163" s="2"/>
      <c r="I163" s="2"/>
      <c r="J163" s="2"/>
    </row>
    <row r="164" spans="1:10" x14ac:dyDescent="0.3">
      <c r="A164" s="49" t="s">
        <v>515</v>
      </c>
      <c r="B164" s="49">
        <f>'Part Pricing'!B188</f>
        <v>13.29</v>
      </c>
      <c r="C164" s="49">
        <v>1</v>
      </c>
      <c r="D164" s="133"/>
      <c r="E164" s="49"/>
      <c r="F164" s="2"/>
      <c r="G164" s="2"/>
      <c r="H164" s="2"/>
      <c r="I164" s="2"/>
      <c r="J164" s="2"/>
    </row>
    <row r="165" spans="1:10" x14ac:dyDescent="0.3">
      <c r="A165" s="49" t="s">
        <v>516</v>
      </c>
      <c r="B165" s="49"/>
      <c r="C165" s="49">
        <v>1</v>
      </c>
      <c r="D165" s="133"/>
      <c r="E165" s="49"/>
      <c r="F165" s="2"/>
      <c r="G165" s="2"/>
      <c r="H165" s="2"/>
      <c r="I165" s="2"/>
      <c r="J165" s="2"/>
    </row>
    <row r="166" spans="1:10" x14ac:dyDescent="0.3">
      <c r="A166" s="49" t="s">
        <v>517</v>
      </c>
      <c r="B166" s="49"/>
      <c r="C166" s="49">
        <v>15</v>
      </c>
      <c r="D166" s="133"/>
      <c r="E166" s="49"/>
      <c r="F166" s="2"/>
      <c r="G166" s="2"/>
      <c r="H166" s="2"/>
      <c r="I166" s="2"/>
      <c r="J166" s="2"/>
    </row>
    <row r="167" spans="1:10" x14ac:dyDescent="0.3">
      <c r="A167" s="49" t="s">
        <v>518</v>
      </c>
      <c r="B167" s="49"/>
      <c r="C167" s="49">
        <v>2</v>
      </c>
      <c r="D167" s="133"/>
      <c r="E167" s="49"/>
      <c r="F167" s="2"/>
      <c r="G167" s="2"/>
      <c r="H167" s="2"/>
      <c r="I167" s="2"/>
      <c r="J167" s="2"/>
    </row>
    <row r="168" spans="1:10" x14ac:dyDescent="0.3">
      <c r="A168" s="127" t="s">
        <v>164</v>
      </c>
      <c r="B168" s="49"/>
      <c r="C168" s="49"/>
      <c r="D168" s="133">
        <f>SUM(D155:D167)</f>
        <v>967.9</v>
      </c>
      <c r="E168" s="49"/>
      <c r="F168" s="2"/>
      <c r="G168" s="2"/>
      <c r="H168" s="2"/>
      <c r="I168" s="2"/>
      <c r="J168" s="2"/>
    </row>
    <row r="169" spans="1:10" x14ac:dyDescent="0.3">
      <c r="A169" s="4" t="s">
        <v>348</v>
      </c>
      <c r="B169" s="2"/>
      <c r="C169" s="2"/>
      <c r="D169" s="48"/>
      <c r="E169" s="2"/>
      <c r="F169" s="2"/>
      <c r="G169" s="2"/>
      <c r="H169" s="2"/>
      <c r="I169" s="2"/>
      <c r="J169" s="2"/>
    </row>
    <row r="170" spans="1:10" x14ac:dyDescent="0.3">
      <c r="A170" s="2" t="s">
        <v>165</v>
      </c>
      <c r="B170" s="2">
        <f>'Part Pricing'!B181</f>
        <v>1050.2</v>
      </c>
      <c r="C170" s="2">
        <v>1</v>
      </c>
      <c r="D170" s="48">
        <f>B170*C170</f>
        <v>1050.2</v>
      </c>
      <c r="E170" s="2"/>
      <c r="F170" s="2"/>
      <c r="G170" s="2"/>
      <c r="H170" s="2"/>
      <c r="I170" s="2"/>
      <c r="J170" s="2"/>
    </row>
    <row r="171" spans="1:10" x14ac:dyDescent="0.3">
      <c r="A171" s="2" t="s">
        <v>514</v>
      </c>
      <c r="B171" s="2">
        <f>'Part Pricing'!C147</f>
        <v>2.9790000000000001</v>
      </c>
      <c r="C171" s="2">
        <v>15</v>
      </c>
      <c r="D171" s="48">
        <f t="shared" ref="D171:D182" si="5">B171*C171</f>
        <v>44.685000000000002</v>
      </c>
      <c r="E171" s="2"/>
      <c r="F171" s="2"/>
      <c r="G171" s="2"/>
      <c r="H171" s="2"/>
      <c r="I171" s="2"/>
      <c r="J171" s="2"/>
    </row>
    <row r="172" spans="1:10" x14ac:dyDescent="0.3">
      <c r="A172" s="2" t="s">
        <v>193</v>
      </c>
      <c r="B172" s="2">
        <f>'Part Pricing'!B152</f>
        <v>6.51</v>
      </c>
      <c r="C172" s="2">
        <v>3</v>
      </c>
      <c r="D172" s="48">
        <f t="shared" si="5"/>
        <v>19.53</v>
      </c>
      <c r="E172" s="2"/>
      <c r="F172" s="2"/>
      <c r="G172" s="2"/>
      <c r="H172" s="2"/>
      <c r="I172" s="2"/>
      <c r="J172" s="2"/>
    </row>
    <row r="173" spans="1:10" x14ac:dyDescent="0.3">
      <c r="A173" s="2" t="s">
        <v>166</v>
      </c>
      <c r="B173" s="2">
        <v>4.96</v>
      </c>
      <c r="C173" s="2">
        <v>3</v>
      </c>
      <c r="D173" s="48">
        <f t="shared" si="5"/>
        <v>14.879999999999999</v>
      </c>
      <c r="E173" s="2"/>
      <c r="F173" s="2"/>
      <c r="G173" s="2"/>
      <c r="H173" s="2"/>
      <c r="I173" s="2"/>
      <c r="J173" s="2"/>
    </row>
    <row r="174" spans="1:10" x14ac:dyDescent="0.3">
      <c r="A174" s="2" t="s">
        <v>392</v>
      </c>
      <c r="B174" s="2"/>
      <c r="C174" s="2">
        <v>1</v>
      </c>
      <c r="D174" s="48">
        <f t="shared" si="5"/>
        <v>0</v>
      </c>
      <c r="E174" s="2"/>
      <c r="F174" s="2"/>
      <c r="G174" s="2"/>
      <c r="H174" s="2"/>
      <c r="I174" s="2"/>
      <c r="J174" s="2"/>
    </row>
    <row r="175" spans="1:10" x14ac:dyDescent="0.3">
      <c r="A175" s="2" t="s">
        <v>511</v>
      </c>
      <c r="B175" s="2">
        <f>'Part Pricing'!B81</f>
        <v>16.8</v>
      </c>
      <c r="C175" s="2">
        <v>1</v>
      </c>
      <c r="D175" s="48">
        <f t="shared" si="5"/>
        <v>16.8</v>
      </c>
      <c r="E175" s="2"/>
      <c r="F175" s="2"/>
      <c r="G175" s="2"/>
      <c r="H175" s="2"/>
      <c r="I175" s="2"/>
      <c r="J175" s="2"/>
    </row>
    <row r="176" spans="1:10" x14ac:dyDescent="0.3">
      <c r="A176" s="2" t="s">
        <v>512</v>
      </c>
      <c r="B176" s="2"/>
      <c r="C176" s="2">
        <v>5</v>
      </c>
      <c r="D176" s="48">
        <f t="shared" si="5"/>
        <v>0</v>
      </c>
      <c r="E176" s="2"/>
      <c r="F176" s="2"/>
      <c r="G176" s="2"/>
      <c r="H176" s="2"/>
      <c r="I176" s="2"/>
      <c r="J176" s="2"/>
    </row>
    <row r="177" spans="1:10" x14ac:dyDescent="0.3">
      <c r="A177" s="2" t="s">
        <v>513</v>
      </c>
      <c r="B177" s="2"/>
      <c r="C177" s="2">
        <v>1</v>
      </c>
      <c r="D177" s="48">
        <f t="shared" si="5"/>
        <v>0</v>
      </c>
      <c r="E177" s="2"/>
      <c r="F177" s="2"/>
      <c r="G177" s="2"/>
      <c r="H177" s="2"/>
      <c r="I177" s="2"/>
      <c r="J177" s="2"/>
    </row>
    <row r="178" spans="1:10" x14ac:dyDescent="0.3">
      <c r="A178" s="2" t="s">
        <v>169</v>
      </c>
      <c r="B178" s="2">
        <f>'Part Pricing'!B158</f>
        <v>3.76</v>
      </c>
      <c r="C178" s="2">
        <v>1</v>
      </c>
      <c r="D178" s="48">
        <f t="shared" si="5"/>
        <v>3.76</v>
      </c>
      <c r="E178" s="2"/>
      <c r="F178" s="2"/>
      <c r="G178" s="2"/>
      <c r="H178" s="2"/>
      <c r="I178" s="2"/>
      <c r="J178" s="2"/>
    </row>
    <row r="179" spans="1:10" x14ac:dyDescent="0.3">
      <c r="A179" s="2" t="s">
        <v>515</v>
      </c>
      <c r="B179" s="2">
        <f>'Part Pricing'!B188</f>
        <v>13.29</v>
      </c>
      <c r="C179" s="2">
        <v>1</v>
      </c>
      <c r="D179" s="48">
        <f t="shared" si="5"/>
        <v>13.29</v>
      </c>
      <c r="E179" s="2"/>
      <c r="F179" s="2"/>
      <c r="G179" s="2"/>
      <c r="H179" s="2"/>
      <c r="I179" s="2"/>
      <c r="J179" s="2"/>
    </row>
    <row r="180" spans="1:10" x14ac:dyDescent="0.3">
      <c r="A180" s="2" t="s">
        <v>516</v>
      </c>
      <c r="B180" s="2"/>
      <c r="C180" s="2">
        <v>1</v>
      </c>
      <c r="D180" s="48">
        <f t="shared" si="5"/>
        <v>0</v>
      </c>
      <c r="E180" s="2"/>
      <c r="F180" s="2"/>
      <c r="G180" s="2"/>
      <c r="H180" s="2"/>
      <c r="I180" s="2"/>
      <c r="J180" s="2"/>
    </row>
    <row r="181" spans="1:10" x14ac:dyDescent="0.3">
      <c r="A181" s="2" t="s">
        <v>517</v>
      </c>
      <c r="B181" s="2"/>
      <c r="C181" s="2">
        <v>15</v>
      </c>
      <c r="D181" s="48">
        <f t="shared" si="5"/>
        <v>0</v>
      </c>
      <c r="E181" s="2"/>
      <c r="F181" s="2"/>
      <c r="G181" s="2"/>
      <c r="H181" s="2"/>
      <c r="I181" s="2"/>
      <c r="J181" s="2"/>
    </row>
    <row r="182" spans="1:10" x14ac:dyDescent="0.3">
      <c r="A182" s="2" t="s">
        <v>518</v>
      </c>
      <c r="B182" s="2"/>
      <c r="C182" s="2">
        <v>2</v>
      </c>
      <c r="D182" s="48">
        <f t="shared" si="5"/>
        <v>0</v>
      </c>
      <c r="E182" s="2"/>
      <c r="F182" s="2"/>
      <c r="G182" s="2"/>
      <c r="H182" s="2"/>
      <c r="I182" s="2"/>
      <c r="J182" s="2"/>
    </row>
    <row r="183" spans="1:10" x14ac:dyDescent="0.3">
      <c r="A183" s="4" t="s">
        <v>164</v>
      </c>
      <c r="B183" s="2"/>
      <c r="C183" s="2"/>
      <c r="D183" s="48">
        <f>SUM(D170:D170)</f>
        <v>1050.2</v>
      </c>
      <c r="E183" s="2"/>
      <c r="F183" s="2"/>
      <c r="G183" s="2"/>
      <c r="H183" s="2"/>
      <c r="I183" s="2"/>
      <c r="J183" s="2"/>
    </row>
    <row r="184" spans="1:10" x14ac:dyDescent="0.3">
      <c r="A184" s="4" t="s">
        <v>349</v>
      </c>
      <c r="B184" s="2"/>
      <c r="C184" s="2"/>
      <c r="D184" s="48"/>
      <c r="E184" s="2"/>
      <c r="F184" s="2"/>
      <c r="G184" s="2"/>
      <c r="H184" s="2"/>
      <c r="I184" s="2"/>
      <c r="J184" s="2"/>
    </row>
    <row r="185" spans="1:10" x14ac:dyDescent="0.3">
      <c r="A185" s="2" t="s">
        <v>165</v>
      </c>
      <c r="B185" s="2">
        <f>'Part Pricing'!B182</f>
        <v>1194.47</v>
      </c>
      <c r="C185" s="2">
        <v>1</v>
      </c>
      <c r="D185" s="48">
        <f>B185*C185</f>
        <v>1194.47</v>
      </c>
      <c r="E185" s="2"/>
      <c r="F185" s="2"/>
      <c r="G185" s="2"/>
      <c r="H185" s="2"/>
      <c r="I185" s="2"/>
      <c r="J185" s="2"/>
    </row>
    <row r="186" spans="1:10" x14ac:dyDescent="0.3">
      <c r="A186" s="2" t="s">
        <v>514</v>
      </c>
      <c r="B186" s="2">
        <f>'Part Pricing'!C147</f>
        <v>2.9790000000000001</v>
      </c>
      <c r="C186" s="2">
        <v>15</v>
      </c>
      <c r="D186" s="48">
        <f t="shared" ref="D186:D197" si="6">B186*C186</f>
        <v>44.685000000000002</v>
      </c>
      <c r="E186" s="2"/>
      <c r="F186" s="2"/>
      <c r="G186" s="2"/>
      <c r="H186" s="2"/>
      <c r="I186" s="2"/>
      <c r="J186" s="2"/>
    </row>
    <row r="187" spans="1:10" x14ac:dyDescent="0.3">
      <c r="A187" s="2" t="s">
        <v>193</v>
      </c>
      <c r="B187" s="2">
        <f>'Part Pricing'!B152</f>
        <v>6.51</v>
      </c>
      <c r="C187" s="2">
        <v>3</v>
      </c>
      <c r="D187" s="48">
        <f t="shared" si="6"/>
        <v>19.53</v>
      </c>
      <c r="E187" s="2"/>
      <c r="F187" s="2"/>
      <c r="G187" s="2"/>
      <c r="H187" s="2"/>
      <c r="I187" s="2"/>
      <c r="J187" s="2"/>
    </row>
    <row r="188" spans="1:10" x14ac:dyDescent="0.3">
      <c r="A188" s="2" t="s">
        <v>166</v>
      </c>
      <c r="B188" s="2">
        <f>'Part Pricing'!B59</f>
        <v>4.96</v>
      </c>
      <c r="C188" s="2">
        <v>3</v>
      </c>
      <c r="D188" s="48">
        <f t="shared" si="6"/>
        <v>14.879999999999999</v>
      </c>
      <c r="E188" s="2"/>
      <c r="F188" s="2"/>
      <c r="G188" s="2"/>
      <c r="H188" s="2"/>
      <c r="I188" s="2"/>
      <c r="J188" s="2"/>
    </row>
    <row r="189" spans="1:10" x14ac:dyDescent="0.3">
      <c r="A189" s="2" t="s">
        <v>392</v>
      </c>
      <c r="B189" s="2"/>
      <c r="C189" s="2">
        <v>1</v>
      </c>
      <c r="D189" s="48">
        <f t="shared" si="6"/>
        <v>0</v>
      </c>
      <c r="E189" s="2"/>
      <c r="F189" s="2"/>
      <c r="G189" s="2"/>
      <c r="H189" s="2"/>
      <c r="I189" s="2"/>
      <c r="J189" s="2"/>
    </row>
    <row r="190" spans="1:10" x14ac:dyDescent="0.3">
      <c r="A190" s="2" t="s">
        <v>511</v>
      </c>
      <c r="B190" s="2">
        <f>'Part Pricing'!B81</f>
        <v>16.8</v>
      </c>
      <c r="C190" s="2">
        <v>1</v>
      </c>
      <c r="D190" s="48">
        <f t="shared" si="6"/>
        <v>16.8</v>
      </c>
      <c r="E190" s="2"/>
      <c r="F190" s="2"/>
      <c r="G190" s="2"/>
      <c r="H190" s="2"/>
      <c r="I190" s="2"/>
      <c r="J190" s="2"/>
    </row>
    <row r="191" spans="1:10" x14ac:dyDescent="0.3">
      <c r="A191" s="2" t="s">
        <v>512</v>
      </c>
      <c r="B191" s="2"/>
      <c r="C191" s="2">
        <v>5</v>
      </c>
      <c r="D191" s="48">
        <f t="shared" si="6"/>
        <v>0</v>
      </c>
      <c r="E191" s="2"/>
      <c r="F191" s="2"/>
      <c r="G191" s="2"/>
      <c r="H191" s="2"/>
      <c r="I191" s="2"/>
      <c r="J191" s="2"/>
    </row>
    <row r="192" spans="1:10" x14ac:dyDescent="0.3">
      <c r="A192" s="2" t="s">
        <v>513</v>
      </c>
      <c r="B192" s="2"/>
      <c r="C192" s="2">
        <v>1</v>
      </c>
      <c r="D192" s="48">
        <f t="shared" si="6"/>
        <v>0</v>
      </c>
      <c r="E192" s="2"/>
      <c r="F192" s="2"/>
      <c r="G192" s="2"/>
      <c r="H192" s="2"/>
      <c r="I192" s="2"/>
      <c r="J192" s="2"/>
    </row>
    <row r="193" spans="1:10" x14ac:dyDescent="0.3">
      <c r="A193" s="2" t="s">
        <v>169</v>
      </c>
      <c r="B193" s="2">
        <f>'Part Pricing'!B158</f>
        <v>3.76</v>
      </c>
      <c r="C193" s="2">
        <v>1</v>
      </c>
      <c r="D193" s="48">
        <f t="shared" si="6"/>
        <v>3.76</v>
      </c>
      <c r="E193" s="2"/>
      <c r="F193" s="2"/>
      <c r="G193" s="2"/>
      <c r="H193" s="2"/>
      <c r="I193" s="2"/>
      <c r="J193" s="2"/>
    </row>
    <row r="194" spans="1:10" x14ac:dyDescent="0.3">
      <c r="A194" s="2" t="s">
        <v>515</v>
      </c>
      <c r="B194" s="2">
        <v>13.29</v>
      </c>
      <c r="C194" s="2">
        <v>1</v>
      </c>
      <c r="D194" s="48">
        <f t="shared" si="6"/>
        <v>13.29</v>
      </c>
      <c r="E194" s="2"/>
      <c r="F194" s="2"/>
      <c r="G194" s="2"/>
      <c r="H194" s="2"/>
      <c r="I194" s="2"/>
      <c r="J194" s="2"/>
    </row>
    <row r="195" spans="1:10" x14ac:dyDescent="0.3">
      <c r="A195" s="2" t="s">
        <v>516</v>
      </c>
      <c r="B195" s="2"/>
      <c r="C195" s="2">
        <v>1</v>
      </c>
      <c r="D195" s="48">
        <f t="shared" si="6"/>
        <v>0</v>
      </c>
      <c r="E195" s="2"/>
      <c r="F195" s="2"/>
      <c r="G195" s="2"/>
      <c r="H195" s="2"/>
      <c r="I195" s="2"/>
      <c r="J195" s="2"/>
    </row>
    <row r="196" spans="1:10" x14ac:dyDescent="0.3">
      <c r="A196" s="2" t="s">
        <v>517</v>
      </c>
      <c r="B196" s="2"/>
      <c r="C196" s="2">
        <v>15</v>
      </c>
      <c r="D196" s="48">
        <f t="shared" si="6"/>
        <v>0</v>
      </c>
      <c r="E196" s="2"/>
      <c r="F196" s="2"/>
      <c r="G196" s="2"/>
      <c r="H196" s="2"/>
      <c r="I196" s="2"/>
      <c r="J196" s="2"/>
    </row>
    <row r="197" spans="1:10" x14ac:dyDescent="0.3">
      <c r="A197" s="2" t="s">
        <v>518</v>
      </c>
      <c r="B197" s="2"/>
      <c r="C197" s="2">
        <v>2</v>
      </c>
      <c r="D197" s="48">
        <f t="shared" si="6"/>
        <v>0</v>
      </c>
      <c r="E197" s="2"/>
      <c r="F197" s="2"/>
      <c r="G197" s="2"/>
      <c r="H197" s="2"/>
      <c r="I197" s="2"/>
      <c r="J197" s="2"/>
    </row>
    <row r="198" spans="1:10" x14ac:dyDescent="0.3">
      <c r="A198" s="4" t="s">
        <v>164</v>
      </c>
      <c r="B198" s="2"/>
      <c r="C198" s="2"/>
      <c r="D198" s="48">
        <f>SUM(D185:D197)</f>
        <v>1307.415</v>
      </c>
      <c r="E198" s="2"/>
      <c r="F198" s="2"/>
      <c r="G198" s="2"/>
      <c r="H198" s="2"/>
      <c r="I198" s="2"/>
      <c r="J198" s="2"/>
    </row>
    <row r="199" spans="1:10" x14ac:dyDescent="0.3">
      <c r="A199" s="127" t="s">
        <v>350</v>
      </c>
      <c r="B199" s="49"/>
      <c r="C199" s="49"/>
      <c r="D199" s="133"/>
      <c r="E199" s="2"/>
      <c r="F199" s="2"/>
      <c r="G199" s="2"/>
      <c r="H199" s="2"/>
      <c r="I199" s="2"/>
      <c r="J199" s="2"/>
    </row>
    <row r="200" spans="1:10" x14ac:dyDescent="0.3">
      <c r="A200" s="49" t="s">
        <v>165</v>
      </c>
      <c r="B200" s="49">
        <f>'Part Pricing'!B183</f>
        <v>1309.8</v>
      </c>
      <c r="C200" s="49">
        <v>1</v>
      </c>
      <c r="D200" s="133">
        <f>B200*C200</f>
        <v>1309.8</v>
      </c>
      <c r="E200" s="2"/>
      <c r="F200" s="2"/>
      <c r="G200" s="2"/>
      <c r="H200" s="2"/>
      <c r="I200" s="2"/>
      <c r="J200" s="2"/>
    </row>
    <row r="201" spans="1:10" x14ac:dyDescent="0.3">
      <c r="A201" s="49" t="s">
        <v>514</v>
      </c>
      <c r="B201" s="49">
        <f>'Part Pricing'!C147</f>
        <v>2.9790000000000001</v>
      </c>
      <c r="C201" s="49">
        <v>15</v>
      </c>
      <c r="D201" s="133"/>
      <c r="E201" s="2"/>
      <c r="F201" s="2"/>
      <c r="G201" s="2"/>
      <c r="H201" s="2"/>
      <c r="I201" s="2"/>
      <c r="J201" s="2"/>
    </row>
    <row r="202" spans="1:10" x14ac:dyDescent="0.3">
      <c r="A202" s="49" t="s">
        <v>193</v>
      </c>
      <c r="B202" s="49">
        <f>'Part Pricing'!B152</f>
        <v>6.51</v>
      </c>
      <c r="C202" s="49">
        <v>3</v>
      </c>
      <c r="D202" s="133">
        <f>B202*C202</f>
        <v>19.53</v>
      </c>
      <c r="E202" s="2"/>
      <c r="F202" s="2"/>
      <c r="G202" s="2"/>
      <c r="H202" s="2"/>
      <c r="I202" s="2"/>
      <c r="J202" s="2"/>
    </row>
    <row r="203" spans="1:10" x14ac:dyDescent="0.3">
      <c r="A203" s="49" t="s">
        <v>166</v>
      </c>
      <c r="B203" s="49">
        <f>'Part Pricing'!B59</f>
        <v>4.96</v>
      </c>
      <c r="C203" s="49">
        <v>3</v>
      </c>
      <c r="D203" s="133">
        <f>B203*C203</f>
        <v>14.879999999999999</v>
      </c>
      <c r="E203" s="2"/>
      <c r="F203" s="2"/>
      <c r="G203" s="2"/>
      <c r="H203" s="2"/>
      <c r="I203" s="2"/>
      <c r="J203" s="2"/>
    </row>
    <row r="204" spans="1:10" x14ac:dyDescent="0.3">
      <c r="A204" s="49" t="s">
        <v>392</v>
      </c>
      <c r="B204" s="49"/>
      <c r="C204" s="49">
        <v>1</v>
      </c>
      <c r="D204" s="133"/>
      <c r="E204" s="2"/>
      <c r="F204" s="2"/>
      <c r="G204" s="2"/>
      <c r="H204" s="2"/>
      <c r="I204" s="2"/>
      <c r="J204" s="2"/>
    </row>
    <row r="205" spans="1:10" x14ac:dyDescent="0.3">
      <c r="A205" s="49" t="s">
        <v>511</v>
      </c>
      <c r="B205" s="49">
        <f>'Part Pricing'!B79</f>
        <v>9.25</v>
      </c>
      <c r="C205" s="49">
        <v>1</v>
      </c>
      <c r="D205" s="133"/>
      <c r="E205" s="2"/>
      <c r="F205" s="2"/>
      <c r="G205" s="2"/>
      <c r="H205" s="2"/>
      <c r="I205" s="2"/>
      <c r="J205" s="2"/>
    </row>
    <row r="206" spans="1:10" x14ac:dyDescent="0.3">
      <c r="A206" s="49" t="s">
        <v>512</v>
      </c>
      <c r="B206" s="49"/>
      <c r="C206" s="49">
        <v>5</v>
      </c>
      <c r="D206" s="133"/>
      <c r="E206" s="2"/>
      <c r="F206" s="2"/>
      <c r="G206" s="2"/>
      <c r="H206" s="2"/>
      <c r="I206" s="2"/>
      <c r="J206" s="2"/>
    </row>
    <row r="207" spans="1:10" x14ac:dyDescent="0.3">
      <c r="A207" s="49" t="s">
        <v>513</v>
      </c>
      <c r="B207" s="49"/>
      <c r="C207" s="49">
        <v>1</v>
      </c>
      <c r="D207" s="133"/>
      <c r="E207" s="2"/>
      <c r="F207" s="2"/>
      <c r="G207" s="2"/>
      <c r="H207" s="2"/>
      <c r="I207" s="2"/>
      <c r="J207" s="2"/>
    </row>
    <row r="208" spans="1:10" x14ac:dyDescent="0.3">
      <c r="A208" s="49" t="s">
        <v>169</v>
      </c>
      <c r="B208" s="49">
        <f>'Part Pricing'!B158</f>
        <v>3.76</v>
      </c>
      <c r="C208" s="49">
        <v>1</v>
      </c>
      <c r="D208" s="133"/>
      <c r="E208" s="2"/>
      <c r="F208" s="2"/>
      <c r="G208" s="2"/>
      <c r="H208" s="2"/>
      <c r="I208" s="2"/>
      <c r="J208" s="2"/>
    </row>
    <row r="209" spans="1:10" x14ac:dyDescent="0.3">
      <c r="A209" s="49" t="s">
        <v>515</v>
      </c>
      <c r="B209" s="49">
        <f>'Part Pricing'!B188</f>
        <v>13.29</v>
      </c>
      <c r="C209" s="49">
        <v>1</v>
      </c>
      <c r="D209" s="133"/>
      <c r="E209" s="2"/>
      <c r="F209" s="2"/>
      <c r="G209" s="2"/>
      <c r="H209" s="2"/>
      <c r="I209" s="2"/>
      <c r="J209" s="2"/>
    </row>
    <row r="210" spans="1:10" x14ac:dyDescent="0.3">
      <c r="A210" s="49" t="s">
        <v>516</v>
      </c>
      <c r="B210" s="49"/>
      <c r="C210" s="49">
        <v>1</v>
      </c>
      <c r="D210" s="133"/>
      <c r="E210" s="2"/>
      <c r="F210" s="2"/>
      <c r="G210" s="2"/>
      <c r="H210" s="2"/>
      <c r="I210" s="2"/>
      <c r="J210" s="2"/>
    </row>
    <row r="211" spans="1:10" x14ac:dyDescent="0.3">
      <c r="A211" s="49" t="s">
        <v>517</v>
      </c>
      <c r="B211" s="49"/>
      <c r="C211" s="49">
        <v>15</v>
      </c>
      <c r="D211" s="133"/>
      <c r="E211" s="2"/>
      <c r="F211" s="2"/>
      <c r="G211" s="2"/>
      <c r="H211" s="2"/>
      <c r="I211" s="2"/>
      <c r="J211" s="2"/>
    </row>
    <row r="212" spans="1:10" x14ac:dyDescent="0.3">
      <c r="A212" s="49" t="s">
        <v>518</v>
      </c>
      <c r="B212" s="49"/>
      <c r="C212" s="49">
        <v>2</v>
      </c>
      <c r="D212" s="133"/>
      <c r="E212" s="2"/>
      <c r="F212" s="2"/>
      <c r="G212" s="2"/>
      <c r="H212" s="2"/>
      <c r="I212" s="2"/>
      <c r="J212" s="2"/>
    </row>
    <row r="213" spans="1:10" x14ac:dyDescent="0.3">
      <c r="A213" s="127" t="s">
        <v>164</v>
      </c>
      <c r="B213" s="49"/>
      <c r="C213" s="49"/>
      <c r="D213" s="133">
        <f>SUM(D200:D212)</f>
        <v>1344.21</v>
      </c>
      <c r="E213" s="2"/>
      <c r="F213" s="2"/>
      <c r="G213" s="2"/>
      <c r="H213" s="2"/>
      <c r="I213" s="2"/>
      <c r="J213" s="2"/>
    </row>
    <row r="214" spans="1:10" x14ac:dyDescent="0.3">
      <c r="A214" s="127" t="s">
        <v>519</v>
      </c>
      <c r="B214" s="49"/>
      <c r="C214" s="49"/>
      <c r="D214" s="133"/>
      <c r="E214" s="2"/>
      <c r="F214" s="2"/>
      <c r="G214" s="2"/>
      <c r="H214" s="2"/>
      <c r="I214" s="2"/>
      <c r="J214" s="2"/>
    </row>
    <row r="215" spans="1:10" x14ac:dyDescent="0.3">
      <c r="A215" s="49" t="s">
        <v>165</v>
      </c>
      <c r="B215" s="49">
        <f>'Part Pricing'!B183</f>
        <v>1309.8</v>
      </c>
      <c r="C215" s="49">
        <v>2</v>
      </c>
      <c r="D215" s="133">
        <f>B215*C215</f>
        <v>2619.6</v>
      </c>
      <c r="E215" s="2"/>
      <c r="F215" s="2"/>
      <c r="G215" s="2"/>
      <c r="H215" s="2"/>
      <c r="I215" s="2"/>
      <c r="J215" s="2"/>
    </row>
    <row r="216" spans="1:10" x14ac:dyDescent="0.3">
      <c r="A216" s="49" t="s">
        <v>514</v>
      </c>
      <c r="B216" s="49">
        <f>'Part Pricing'!C147</f>
        <v>2.9790000000000001</v>
      </c>
      <c r="C216" s="49">
        <v>30</v>
      </c>
      <c r="D216" s="133"/>
      <c r="E216" s="2"/>
      <c r="F216" s="2"/>
      <c r="G216" s="2"/>
      <c r="H216" s="2"/>
      <c r="I216" s="2"/>
      <c r="J216" s="2"/>
    </row>
    <row r="217" spans="1:10" x14ac:dyDescent="0.3">
      <c r="A217" s="49" t="s">
        <v>193</v>
      </c>
      <c r="B217" s="49">
        <f>'Part Pricing'!B152</f>
        <v>6.51</v>
      </c>
      <c r="C217" s="49">
        <v>6</v>
      </c>
      <c r="D217" s="133">
        <f>B217*C217</f>
        <v>39.06</v>
      </c>
      <c r="E217" s="2"/>
      <c r="F217" s="2"/>
      <c r="G217" s="2"/>
      <c r="H217" s="2"/>
      <c r="I217" s="2"/>
      <c r="J217" s="2"/>
    </row>
    <row r="218" spans="1:10" x14ac:dyDescent="0.3">
      <c r="A218" s="49" t="s">
        <v>166</v>
      </c>
      <c r="B218" s="49">
        <f>'Part Pricing'!B59</f>
        <v>4.96</v>
      </c>
      <c r="C218" s="49">
        <v>6</v>
      </c>
      <c r="D218" s="133">
        <f>B218*C218</f>
        <v>29.759999999999998</v>
      </c>
      <c r="E218" s="2"/>
      <c r="F218" s="2"/>
      <c r="G218" s="2"/>
      <c r="H218" s="2"/>
      <c r="I218" s="2"/>
      <c r="J218" s="2"/>
    </row>
    <row r="219" spans="1:10" x14ac:dyDescent="0.3">
      <c r="A219" s="49" t="s">
        <v>392</v>
      </c>
      <c r="B219" s="49"/>
      <c r="C219" s="49">
        <v>2</v>
      </c>
      <c r="D219" s="133"/>
      <c r="E219" s="2"/>
      <c r="F219" s="2"/>
      <c r="G219" s="2"/>
      <c r="H219" s="2"/>
      <c r="I219" s="2"/>
      <c r="J219" s="2"/>
    </row>
    <row r="220" spans="1:10" x14ac:dyDescent="0.3">
      <c r="A220" s="49" t="s">
        <v>511</v>
      </c>
      <c r="B220" s="49">
        <f>'Part Pricing'!B81</f>
        <v>16.8</v>
      </c>
      <c r="C220" s="49">
        <v>2</v>
      </c>
      <c r="D220" s="133"/>
      <c r="E220" s="2"/>
      <c r="F220" s="2"/>
      <c r="G220" s="2"/>
      <c r="H220" s="2"/>
      <c r="I220" s="2"/>
      <c r="J220" s="2"/>
    </row>
    <row r="221" spans="1:10" x14ac:dyDescent="0.3">
      <c r="A221" s="49" t="s">
        <v>512</v>
      </c>
      <c r="B221" s="49"/>
      <c r="C221" s="49">
        <v>10</v>
      </c>
      <c r="D221" s="133"/>
      <c r="E221" s="2"/>
      <c r="F221" s="2"/>
      <c r="G221" s="2"/>
      <c r="H221" s="2"/>
      <c r="I221" s="2"/>
      <c r="J221" s="2"/>
    </row>
    <row r="222" spans="1:10" x14ac:dyDescent="0.3">
      <c r="A222" s="49" t="s">
        <v>513</v>
      </c>
      <c r="B222" s="49"/>
      <c r="C222" s="49">
        <v>2</v>
      </c>
      <c r="D222" s="133"/>
      <c r="E222" s="2"/>
      <c r="F222" s="2"/>
      <c r="G222" s="2"/>
      <c r="H222" s="2"/>
      <c r="I222" s="2"/>
      <c r="J222" s="2"/>
    </row>
    <row r="223" spans="1:10" x14ac:dyDescent="0.3">
      <c r="A223" s="49" t="s">
        <v>169</v>
      </c>
      <c r="B223" s="49">
        <f>'Part Pricing'!B158</f>
        <v>3.76</v>
      </c>
      <c r="C223" s="49">
        <v>2</v>
      </c>
      <c r="D223" s="133"/>
      <c r="E223" s="2"/>
      <c r="F223" s="2"/>
      <c r="G223" s="2"/>
      <c r="H223" s="2"/>
      <c r="I223" s="2"/>
      <c r="J223" s="2"/>
    </row>
    <row r="224" spans="1:10" x14ac:dyDescent="0.3">
      <c r="A224" s="49" t="s">
        <v>515</v>
      </c>
      <c r="B224" s="49">
        <f>'Part Pricing'!B188</f>
        <v>13.29</v>
      </c>
      <c r="C224" s="49">
        <v>2</v>
      </c>
      <c r="D224" s="133"/>
      <c r="E224" s="2"/>
      <c r="F224" s="2"/>
      <c r="G224" s="2"/>
      <c r="H224" s="2"/>
      <c r="I224" s="2"/>
      <c r="J224" s="2"/>
    </row>
    <row r="225" spans="1:10" x14ac:dyDescent="0.3">
      <c r="A225" s="49" t="s">
        <v>516</v>
      </c>
      <c r="B225" s="49"/>
      <c r="C225" s="49">
        <v>2</v>
      </c>
      <c r="D225" s="133"/>
      <c r="E225" s="2"/>
      <c r="F225" s="2"/>
      <c r="G225" s="2"/>
      <c r="H225" s="2"/>
      <c r="I225" s="2"/>
      <c r="J225" s="2"/>
    </row>
    <row r="226" spans="1:10" x14ac:dyDescent="0.3">
      <c r="A226" s="49" t="s">
        <v>517</v>
      </c>
      <c r="B226" s="49"/>
      <c r="C226" s="49">
        <v>30</v>
      </c>
      <c r="D226" s="133"/>
      <c r="E226" s="2"/>
      <c r="F226" s="2"/>
      <c r="G226" s="2"/>
      <c r="H226" s="2"/>
      <c r="I226" s="2"/>
      <c r="J226" s="2"/>
    </row>
    <row r="227" spans="1:10" x14ac:dyDescent="0.3">
      <c r="A227" s="49" t="s">
        <v>518</v>
      </c>
      <c r="B227" s="49"/>
      <c r="C227" s="49">
        <v>4</v>
      </c>
      <c r="D227" s="133"/>
      <c r="E227" s="2"/>
      <c r="F227" s="2"/>
      <c r="G227" s="2"/>
      <c r="H227" s="2"/>
      <c r="I227" s="2"/>
      <c r="J227" s="2"/>
    </row>
    <row r="228" spans="1:10" x14ac:dyDescent="0.3">
      <c r="A228" s="49" t="s">
        <v>520</v>
      </c>
      <c r="B228" s="49"/>
      <c r="C228" s="49">
        <v>1</v>
      </c>
      <c r="D228" s="133"/>
      <c r="E228" s="2"/>
      <c r="F228" s="2"/>
      <c r="G228" s="2"/>
      <c r="H228" s="2"/>
      <c r="I228" s="2"/>
      <c r="J228" s="2"/>
    </row>
    <row r="229" spans="1:10" x14ac:dyDescent="0.3">
      <c r="A229" s="127" t="s">
        <v>164</v>
      </c>
      <c r="B229" s="49"/>
      <c r="C229" s="49"/>
      <c r="D229" s="133">
        <f>SUM(D215:D228)</f>
        <v>2688.42</v>
      </c>
      <c r="E229" s="2"/>
      <c r="F229" s="2"/>
      <c r="G229" s="2"/>
      <c r="H229" s="2"/>
      <c r="I229" s="2"/>
      <c r="J229" s="2"/>
    </row>
    <row r="230" spans="1:10" x14ac:dyDescent="0.3">
      <c r="A230" s="127"/>
      <c r="B230" s="49"/>
      <c r="C230" s="49"/>
      <c r="D230" s="133"/>
      <c r="E230" s="2"/>
      <c r="F230" s="2"/>
      <c r="G230" s="2"/>
      <c r="H230" s="2"/>
      <c r="I230" s="2"/>
      <c r="J230" s="2"/>
    </row>
    <row r="231" spans="1:10" x14ac:dyDescent="0.3">
      <c r="A231" s="4" t="s">
        <v>540</v>
      </c>
      <c r="B231" s="2"/>
      <c r="C231" s="2"/>
      <c r="D231" s="48"/>
      <c r="E231" s="48"/>
      <c r="F231" s="48"/>
      <c r="G231" s="48"/>
      <c r="H231" s="48"/>
      <c r="I231" s="2"/>
      <c r="J231" s="2"/>
    </row>
    <row r="232" spans="1:10" x14ac:dyDescent="0.3">
      <c r="A232" s="4" t="s">
        <v>541</v>
      </c>
      <c r="B232" s="2"/>
      <c r="C232" s="2"/>
      <c r="D232" s="48"/>
      <c r="E232" s="2"/>
      <c r="F232" s="2"/>
      <c r="G232" s="2"/>
      <c r="H232" s="2"/>
      <c r="I232" s="2"/>
      <c r="J232" s="2"/>
    </row>
    <row r="233" spans="1:10" x14ac:dyDescent="0.3">
      <c r="A233" s="49" t="s">
        <v>521</v>
      </c>
      <c r="B233" s="49">
        <f>'Part Pricing'!B137</f>
        <v>491.62</v>
      </c>
      <c r="C233" s="49">
        <v>1</v>
      </c>
      <c r="D233" s="48">
        <f>B233*C233</f>
        <v>491.62</v>
      </c>
      <c r="E233" s="2"/>
      <c r="F233" s="2"/>
      <c r="G233" s="2"/>
      <c r="H233" s="2"/>
      <c r="I233" s="2"/>
      <c r="J233" s="2"/>
    </row>
    <row r="234" spans="1:10" x14ac:dyDescent="0.3">
      <c r="A234" s="49" t="s">
        <v>193</v>
      </c>
      <c r="B234" s="49">
        <f>'Part Pricing'!B157</f>
        <v>0</v>
      </c>
      <c r="C234" s="49">
        <v>2</v>
      </c>
      <c r="D234" s="48">
        <f t="shared" ref="D234:D239" si="7">B234*C234</f>
        <v>0</v>
      </c>
      <c r="E234" s="2"/>
      <c r="F234" s="2"/>
      <c r="G234" s="2"/>
      <c r="H234" s="2"/>
      <c r="I234" s="2"/>
      <c r="J234" s="2"/>
    </row>
    <row r="235" spans="1:10" x14ac:dyDescent="0.3">
      <c r="A235" s="49" t="s">
        <v>166</v>
      </c>
      <c r="B235" s="49">
        <f>'Part Pricing'!B71</f>
        <v>9.26</v>
      </c>
      <c r="C235" s="49">
        <v>2</v>
      </c>
      <c r="D235" s="48">
        <f t="shared" si="7"/>
        <v>18.52</v>
      </c>
      <c r="E235" s="2"/>
      <c r="F235" s="2"/>
      <c r="G235" s="2"/>
      <c r="H235" s="2"/>
      <c r="I235" s="2"/>
      <c r="J235" s="2"/>
    </row>
    <row r="236" spans="1:10" x14ac:dyDescent="0.3">
      <c r="A236" s="49" t="s">
        <v>522</v>
      </c>
      <c r="B236" s="49">
        <f>'Part Pricing'!B142</f>
        <v>0</v>
      </c>
      <c r="C236" s="49">
        <v>2</v>
      </c>
      <c r="D236" s="48">
        <f t="shared" si="7"/>
        <v>0</v>
      </c>
      <c r="E236" s="49"/>
      <c r="F236" s="2"/>
      <c r="G236" s="2"/>
      <c r="H236" s="2"/>
      <c r="I236" s="2"/>
      <c r="J236" s="2"/>
    </row>
    <row r="237" spans="1:10" x14ac:dyDescent="0.3">
      <c r="A237" s="49" t="s">
        <v>523</v>
      </c>
      <c r="B237" s="49">
        <f>'Part Pricing'!C129</f>
        <v>0.43930000000000002</v>
      </c>
      <c r="C237" s="49">
        <v>2</v>
      </c>
      <c r="D237" s="48">
        <f t="shared" si="7"/>
        <v>0.87860000000000005</v>
      </c>
      <c r="E237" s="49"/>
      <c r="F237" s="2"/>
      <c r="G237" s="2"/>
      <c r="H237" s="2"/>
      <c r="I237" s="2"/>
      <c r="J237" s="2"/>
    </row>
    <row r="238" spans="1:10" s="136" customFormat="1" x14ac:dyDescent="0.3">
      <c r="A238" s="49" t="s">
        <v>524</v>
      </c>
      <c r="B238" s="49"/>
      <c r="C238" s="49">
        <v>1</v>
      </c>
      <c r="D238" s="48">
        <f t="shared" si="7"/>
        <v>0</v>
      </c>
      <c r="E238" s="134"/>
      <c r="F238" s="135"/>
      <c r="G238" s="135"/>
      <c r="H238" s="135"/>
      <c r="I238" s="135"/>
      <c r="J238" s="135"/>
    </row>
    <row r="239" spans="1:10" x14ac:dyDescent="0.3">
      <c r="A239" s="49" t="s">
        <v>525</v>
      </c>
      <c r="B239" s="49">
        <f>'Part Pricing'!B114</f>
        <v>0</v>
      </c>
      <c r="C239" s="49">
        <v>1</v>
      </c>
      <c r="D239" s="48">
        <f t="shared" si="7"/>
        <v>0</v>
      </c>
      <c r="E239" s="49"/>
      <c r="F239" s="2"/>
      <c r="G239" s="2"/>
      <c r="H239" s="2"/>
      <c r="I239" s="2"/>
      <c r="J239" s="2"/>
    </row>
    <row r="240" spans="1:10" x14ac:dyDescent="0.3">
      <c r="A240" s="127" t="s">
        <v>164</v>
      </c>
      <c r="B240" s="49"/>
      <c r="C240" s="49"/>
      <c r="D240" s="48">
        <f>SUM(D233:D239)</f>
        <v>511.01859999999999</v>
      </c>
      <c r="E240" s="2"/>
      <c r="F240" s="2"/>
      <c r="G240" s="2"/>
      <c r="H240" s="2"/>
      <c r="I240" s="2"/>
      <c r="J240" s="2"/>
    </row>
    <row r="241" spans="1:10" x14ac:dyDescent="0.3">
      <c r="A241" s="127" t="s">
        <v>542</v>
      </c>
      <c r="B241" s="49"/>
      <c r="C241" s="49"/>
      <c r="D241" s="133"/>
      <c r="E241" s="49"/>
      <c r="F241" s="2"/>
      <c r="G241" s="2"/>
      <c r="H241" s="2"/>
      <c r="I241" s="2"/>
      <c r="J241" s="2"/>
    </row>
    <row r="242" spans="1:10" x14ac:dyDescent="0.3">
      <c r="A242" s="49" t="s">
        <v>521</v>
      </c>
      <c r="B242" s="49">
        <f>'Part Pricing'!B138</f>
        <v>683.11</v>
      </c>
      <c r="C242" s="49">
        <v>1</v>
      </c>
      <c r="D242" s="133">
        <f>B242*C242</f>
        <v>683.11</v>
      </c>
      <c r="E242" s="49"/>
      <c r="F242" s="2"/>
      <c r="G242" s="2"/>
      <c r="H242" s="2"/>
      <c r="I242" s="2"/>
      <c r="J242" s="2"/>
    </row>
    <row r="243" spans="1:10" x14ac:dyDescent="0.3">
      <c r="A243" s="49" t="s">
        <v>193</v>
      </c>
      <c r="B243" s="49">
        <f>'Part Pricing'!B157</f>
        <v>0</v>
      </c>
      <c r="C243" s="49">
        <v>2</v>
      </c>
      <c r="D243" s="133">
        <f t="shared" ref="D243:D248" si="8">B243*C243</f>
        <v>0</v>
      </c>
      <c r="E243" s="49"/>
      <c r="F243" s="2"/>
      <c r="G243" s="2"/>
      <c r="H243" s="2"/>
      <c r="I243" s="2"/>
      <c r="J243" s="2"/>
    </row>
    <row r="244" spans="1:10" x14ac:dyDescent="0.3">
      <c r="A244" s="49" t="s">
        <v>166</v>
      </c>
      <c r="B244" s="49">
        <f>'Part Pricing'!B71</f>
        <v>9.26</v>
      </c>
      <c r="C244" s="49">
        <v>2</v>
      </c>
      <c r="D244" s="133">
        <f t="shared" si="8"/>
        <v>18.52</v>
      </c>
      <c r="E244" s="49"/>
      <c r="F244" s="2"/>
      <c r="G244" s="2"/>
      <c r="H244" s="2"/>
      <c r="I244" s="2"/>
      <c r="J244" s="2"/>
    </row>
    <row r="245" spans="1:10" x14ac:dyDescent="0.3">
      <c r="A245" s="49" t="s">
        <v>522</v>
      </c>
      <c r="B245" s="49">
        <f>'Part Pricing'!B142</f>
        <v>0</v>
      </c>
      <c r="C245" s="49">
        <v>2</v>
      </c>
      <c r="D245" s="133">
        <f t="shared" si="8"/>
        <v>0</v>
      </c>
      <c r="E245" s="49"/>
      <c r="F245" s="2"/>
      <c r="G245" s="2"/>
      <c r="H245" s="2"/>
      <c r="I245" s="2"/>
      <c r="J245" s="2"/>
    </row>
    <row r="246" spans="1:10" x14ac:dyDescent="0.3">
      <c r="A246" s="49" t="s">
        <v>523</v>
      </c>
      <c r="B246" s="49">
        <f>'Part Pricing'!C129</f>
        <v>0.43930000000000002</v>
      </c>
      <c r="C246" s="49">
        <v>2</v>
      </c>
      <c r="D246" s="133">
        <f t="shared" si="8"/>
        <v>0.87860000000000005</v>
      </c>
      <c r="E246" s="49"/>
      <c r="F246" s="2"/>
      <c r="G246" s="2"/>
      <c r="H246" s="2"/>
      <c r="I246" s="2"/>
      <c r="J246" s="2"/>
    </row>
    <row r="247" spans="1:10" x14ac:dyDescent="0.3">
      <c r="A247" s="49" t="s">
        <v>524</v>
      </c>
      <c r="B247" s="49"/>
      <c r="C247" s="49">
        <v>1</v>
      </c>
      <c r="D247" s="133">
        <f t="shared" si="8"/>
        <v>0</v>
      </c>
      <c r="E247" s="49"/>
      <c r="F247" s="2"/>
      <c r="G247" s="2"/>
      <c r="H247" s="2"/>
      <c r="I247" s="2"/>
      <c r="J247" s="2"/>
    </row>
    <row r="248" spans="1:10" x14ac:dyDescent="0.3">
      <c r="A248" s="49" t="s">
        <v>525</v>
      </c>
      <c r="B248" s="49">
        <f>'Part Pricing'!B114</f>
        <v>0</v>
      </c>
      <c r="C248" s="49">
        <v>1</v>
      </c>
      <c r="D248" s="133">
        <f t="shared" si="8"/>
        <v>0</v>
      </c>
      <c r="E248" s="49"/>
      <c r="F248" s="2"/>
      <c r="G248" s="2"/>
      <c r="H248" s="2"/>
      <c r="I248" s="2"/>
      <c r="J248" s="2"/>
    </row>
    <row r="249" spans="1:10" x14ac:dyDescent="0.3">
      <c r="A249" s="127" t="s">
        <v>164</v>
      </c>
      <c r="B249" s="49"/>
      <c r="C249" s="49"/>
      <c r="D249" s="133">
        <f>SUM(D242:D248)</f>
        <v>702.5086</v>
      </c>
      <c r="E249" s="49"/>
      <c r="F249" s="2"/>
      <c r="G249" s="2"/>
      <c r="H249" s="2"/>
      <c r="I249" s="2"/>
      <c r="J249" s="2"/>
    </row>
    <row r="250" spans="1:10" x14ac:dyDescent="0.3">
      <c r="A250" s="127" t="s">
        <v>543</v>
      </c>
      <c r="B250" s="49"/>
      <c r="C250" s="49"/>
      <c r="D250" s="133"/>
      <c r="E250" s="49"/>
      <c r="F250" s="2"/>
      <c r="G250" s="2"/>
      <c r="H250" s="2"/>
      <c r="I250" s="2"/>
      <c r="J250" s="2"/>
    </row>
    <row r="251" spans="1:10" x14ac:dyDescent="0.3">
      <c r="A251" s="49" t="s">
        <v>521</v>
      </c>
      <c r="B251" s="49">
        <f>'Part Pricing'!B139</f>
        <v>773.64</v>
      </c>
      <c r="C251" s="49">
        <v>1</v>
      </c>
      <c r="D251" s="133">
        <f>B251*C251</f>
        <v>773.64</v>
      </c>
      <c r="E251" s="49"/>
      <c r="F251" s="2"/>
      <c r="G251" s="2"/>
      <c r="H251" s="2"/>
      <c r="I251" s="2"/>
      <c r="J251" s="2"/>
    </row>
    <row r="252" spans="1:10" x14ac:dyDescent="0.3">
      <c r="A252" s="49" t="s">
        <v>193</v>
      </c>
      <c r="B252" s="49">
        <f>'Part Pricing'!B157</f>
        <v>0</v>
      </c>
      <c r="C252" s="49">
        <v>2</v>
      </c>
      <c r="D252" s="133">
        <f t="shared" ref="D252:D257" si="9">B252*C252</f>
        <v>0</v>
      </c>
      <c r="E252" s="49"/>
      <c r="F252" s="2"/>
      <c r="G252" s="2"/>
      <c r="H252" s="2"/>
      <c r="I252" s="2"/>
      <c r="J252" s="2"/>
    </row>
    <row r="253" spans="1:10" x14ac:dyDescent="0.3">
      <c r="A253" s="49" t="s">
        <v>166</v>
      </c>
      <c r="B253" s="49">
        <f>'Part Pricing'!B59</f>
        <v>4.96</v>
      </c>
      <c r="C253" s="49">
        <v>2</v>
      </c>
      <c r="D253" s="133">
        <f t="shared" si="9"/>
        <v>9.92</v>
      </c>
      <c r="E253" s="49"/>
      <c r="F253" s="2"/>
      <c r="G253" s="2"/>
      <c r="H253" s="2"/>
      <c r="I253" s="2"/>
      <c r="J253" s="2"/>
    </row>
    <row r="254" spans="1:10" x14ac:dyDescent="0.3">
      <c r="A254" s="49" t="s">
        <v>522</v>
      </c>
      <c r="B254" s="49">
        <f>'Part Pricing'!B142</f>
        <v>0</v>
      </c>
      <c r="C254" s="49">
        <v>2</v>
      </c>
      <c r="D254" s="133">
        <f t="shared" si="9"/>
        <v>0</v>
      </c>
      <c r="E254" s="49"/>
      <c r="F254" s="2"/>
      <c r="G254" s="2"/>
      <c r="H254" s="2"/>
      <c r="I254" s="2"/>
      <c r="J254" s="2"/>
    </row>
    <row r="255" spans="1:10" x14ac:dyDescent="0.3">
      <c r="A255" s="49" t="s">
        <v>523</v>
      </c>
      <c r="B255" s="49">
        <f>'Part Pricing'!C129</f>
        <v>0.43930000000000002</v>
      </c>
      <c r="C255" s="49">
        <v>2</v>
      </c>
      <c r="D255" s="133">
        <f t="shared" si="9"/>
        <v>0.87860000000000005</v>
      </c>
      <c r="E255" s="49"/>
      <c r="F255" s="2"/>
      <c r="G255" s="2"/>
      <c r="H255" s="2"/>
      <c r="I255" s="2"/>
      <c r="J255" s="2"/>
    </row>
    <row r="256" spans="1:10" x14ac:dyDescent="0.3">
      <c r="A256" s="49" t="s">
        <v>524</v>
      </c>
      <c r="B256" s="49"/>
      <c r="C256" s="49">
        <v>1</v>
      </c>
      <c r="D256" s="133">
        <f t="shared" si="9"/>
        <v>0</v>
      </c>
      <c r="E256" s="49"/>
      <c r="F256" s="2"/>
      <c r="G256" s="2"/>
      <c r="H256" s="2"/>
      <c r="I256" s="2"/>
      <c r="J256" s="2"/>
    </row>
    <row r="257" spans="1:10" x14ac:dyDescent="0.3">
      <c r="A257" s="49" t="s">
        <v>525</v>
      </c>
      <c r="B257" s="49">
        <f>'Part Pricing'!B114</f>
        <v>0</v>
      </c>
      <c r="C257" s="49">
        <v>1</v>
      </c>
      <c r="D257" s="133">
        <f t="shared" si="9"/>
        <v>0</v>
      </c>
      <c r="E257" s="49"/>
      <c r="F257" s="2"/>
      <c r="G257" s="2"/>
      <c r="H257" s="2"/>
      <c r="I257" s="2"/>
      <c r="J257" s="2"/>
    </row>
    <row r="258" spans="1:10" x14ac:dyDescent="0.3">
      <c r="A258" s="127" t="s">
        <v>164</v>
      </c>
      <c r="B258" s="49"/>
      <c r="C258" s="49"/>
      <c r="D258" s="133">
        <f>SUM(D251:D257)</f>
        <v>784.43859999999995</v>
      </c>
      <c r="E258" s="49"/>
      <c r="F258" s="2"/>
      <c r="G258" s="2"/>
      <c r="H258" s="2"/>
      <c r="I258" s="2"/>
      <c r="J258" s="2"/>
    </row>
    <row r="259" spans="1:10" x14ac:dyDescent="0.3">
      <c r="A259" s="127" t="s">
        <v>344</v>
      </c>
      <c r="B259" s="49"/>
      <c r="C259" s="49"/>
      <c r="D259" s="133"/>
      <c r="E259" s="49"/>
      <c r="F259" s="2"/>
      <c r="G259" s="2"/>
      <c r="H259" s="2"/>
      <c r="I259" s="2"/>
      <c r="J259" s="2"/>
    </row>
    <row r="260" spans="1:10" x14ac:dyDescent="0.3">
      <c r="A260" s="49" t="s">
        <v>526</v>
      </c>
      <c r="B260" s="49">
        <f>'Part Pricing'!B140</f>
        <v>484.9</v>
      </c>
      <c r="C260" s="49">
        <v>1</v>
      </c>
      <c r="D260" s="133">
        <f>B260*C260</f>
        <v>484.9</v>
      </c>
      <c r="E260" s="49"/>
      <c r="F260" s="2"/>
      <c r="G260" s="2"/>
      <c r="H260" s="2"/>
      <c r="I260" s="2"/>
      <c r="J260" s="2"/>
    </row>
    <row r="261" spans="1:10" x14ac:dyDescent="0.3">
      <c r="A261" s="49" t="s">
        <v>193</v>
      </c>
      <c r="B261" s="49">
        <f>'Part Pricing'!B157</f>
        <v>0</v>
      </c>
      <c r="C261" s="49">
        <v>2</v>
      </c>
      <c r="D261" s="133">
        <f>B261*C261</f>
        <v>0</v>
      </c>
      <c r="E261" s="49"/>
      <c r="F261" s="2"/>
      <c r="G261" s="2"/>
      <c r="H261" s="2"/>
      <c r="I261" s="2"/>
      <c r="J261" s="2"/>
    </row>
    <row r="262" spans="1:10" x14ac:dyDescent="0.3">
      <c r="A262" s="49" t="s">
        <v>166</v>
      </c>
      <c r="B262" s="49">
        <f>'Part Pricing'!B71</f>
        <v>9.26</v>
      </c>
      <c r="C262" s="49">
        <v>2</v>
      </c>
      <c r="D262" s="133">
        <f>B262*C262</f>
        <v>18.52</v>
      </c>
      <c r="E262" s="49"/>
      <c r="F262" s="2"/>
      <c r="G262" s="2"/>
      <c r="H262" s="2"/>
      <c r="I262" s="2"/>
      <c r="J262" s="2"/>
    </row>
    <row r="263" spans="1:10" x14ac:dyDescent="0.3">
      <c r="A263" s="49" t="s">
        <v>256</v>
      </c>
      <c r="B263" s="49">
        <f>'Part Pricing'!B67</f>
        <v>7.87</v>
      </c>
      <c r="C263" s="49">
        <v>2</v>
      </c>
      <c r="D263" s="133"/>
      <c r="E263" s="49"/>
      <c r="F263" s="2"/>
      <c r="G263" s="2"/>
      <c r="H263" s="2"/>
      <c r="I263" s="2"/>
      <c r="J263" s="2"/>
    </row>
    <row r="264" spans="1:10" x14ac:dyDescent="0.3">
      <c r="A264" s="49" t="s">
        <v>514</v>
      </c>
      <c r="B264" s="49">
        <f>'Part Pricing'!C148</f>
        <v>4.4655000000000005</v>
      </c>
      <c r="C264" s="49">
        <v>10</v>
      </c>
      <c r="D264" s="133"/>
      <c r="E264" s="49"/>
      <c r="F264" s="2"/>
      <c r="G264" s="2"/>
      <c r="H264" s="2"/>
      <c r="I264" s="2"/>
      <c r="J264" s="2"/>
    </row>
    <row r="265" spans="1:10" x14ac:dyDescent="0.3">
      <c r="A265" s="127" t="s">
        <v>164</v>
      </c>
      <c r="B265" s="49"/>
      <c r="C265" s="49"/>
      <c r="D265" s="133">
        <f>D260+D261+D262</f>
        <v>503.41999999999996</v>
      </c>
      <c r="E265" s="49"/>
      <c r="F265" s="2"/>
      <c r="G265" s="2"/>
      <c r="H265" s="2"/>
      <c r="I265" s="2"/>
      <c r="J265" s="2"/>
    </row>
    <row r="266" spans="1:10" x14ac:dyDescent="0.3">
      <c r="A266" s="127" t="s">
        <v>345</v>
      </c>
      <c r="B266" s="49"/>
      <c r="C266" s="49"/>
      <c r="D266" s="133"/>
      <c r="E266" s="49"/>
      <c r="F266" s="2"/>
      <c r="G266" s="2"/>
      <c r="H266" s="2"/>
      <c r="I266" s="2"/>
      <c r="J266" s="2"/>
    </row>
    <row r="267" spans="1:10" x14ac:dyDescent="0.3">
      <c r="A267" s="49" t="s">
        <v>526</v>
      </c>
      <c r="B267" s="49">
        <f>'Part Pricing'!B141</f>
        <v>592.80999999999995</v>
      </c>
      <c r="C267" s="49">
        <v>1</v>
      </c>
      <c r="D267" s="133">
        <f>B267*C267</f>
        <v>592.80999999999995</v>
      </c>
      <c r="E267" s="49"/>
      <c r="F267" s="2"/>
      <c r="G267" s="2"/>
      <c r="H267" s="2"/>
      <c r="I267" s="2"/>
      <c r="J267" s="2"/>
    </row>
    <row r="268" spans="1:10" x14ac:dyDescent="0.3">
      <c r="A268" s="49" t="s">
        <v>193</v>
      </c>
      <c r="B268" s="49">
        <f>'Part Pricing'!B157</f>
        <v>0</v>
      </c>
      <c r="C268" s="49">
        <v>2</v>
      </c>
      <c r="D268" s="133">
        <f>B268*C268</f>
        <v>0</v>
      </c>
      <c r="E268" s="49"/>
      <c r="F268" s="2"/>
      <c r="G268" s="2"/>
      <c r="H268" s="2"/>
      <c r="I268" s="2"/>
      <c r="J268" s="2"/>
    </row>
    <row r="269" spans="1:10" x14ac:dyDescent="0.3">
      <c r="A269" s="49" t="s">
        <v>166</v>
      </c>
      <c r="B269" s="49">
        <f>'Part Pricing'!B71</f>
        <v>9.26</v>
      </c>
      <c r="C269" s="49">
        <v>2</v>
      </c>
      <c r="D269" s="133">
        <f>B269*C269</f>
        <v>18.52</v>
      </c>
      <c r="E269" s="49"/>
      <c r="F269" s="2"/>
      <c r="G269" s="2"/>
      <c r="H269" s="2"/>
      <c r="I269" s="2"/>
      <c r="J269" s="2"/>
    </row>
    <row r="270" spans="1:10" x14ac:dyDescent="0.3">
      <c r="A270" s="49" t="s">
        <v>256</v>
      </c>
      <c r="B270" s="49">
        <f>'Part Pricing'!B67</f>
        <v>7.87</v>
      </c>
      <c r="C270" s="49">
        <v>2</v>
      </c>
      <c r="D270" s="133"/>
      <c r="E270" s="49"/>
      <c r="F270" s="2"/>
      <c r="G270" s="2"/>
      <c r="H270" s="2"/>
      <c r="I270" s="2"/>
      <c r="J270" s="2"/>
    </row>
    <row r="271" spans="1:10" x14ac:dyDescent="0.3">
      <c r="A271" s="49" t="s">
        <v>514</v>
      </c>
      <c r="B271" s="49">
        <f>'Part Pricing'!C148</f>
        <v>4.4655000000000005</v>
      </c>
      <c r="C271" s="49">
        <v>10</v>
      </c>
      <c r="D271" s="133"/>
      <c r="E271" s="49"/>
      <c r="F271" s="2"/>
      <c r="G271" s="2"/>
      <c r="H271" s="2"/>
      <c r="I271" s="2"/>
      <c r="J271" s="2"/>
    </row>
    <row r="272" spans="1:10" x14ac:dyDescent="0.3">
      <c r="A272" s="127" t="s">
        <v>164</v>
      </c>
      <c r="B272" s="49"/>
      <c r="C272" s="49"/>
      <c r="D272" s="133">
        <f>D267+D268+D269</f>
        <v>611.32999999999993</v>
      </c>
      <c r="E272" s="49"/>
      <c r="F272" s="2"/>
      <c r="G272" s="2"/>
      <c r="H272" s="2"/>
      <c r="I272" s="2"/>
      <c r="J272" s="2"/>
    </row>
    <row r="273" spans="1:10" s="132" customFormat="1" x14ac:dyDescent="0.3">
      <c r="A273" s="127" t="s">
        <v>547</v>
      </c>
      <c r="B273" s="127"/>
      <c r="C273" s="127"/>
      <c r="D273" s="137"/>
      <c r="E273" s="127"/>
      <c r="F273" s="4"/>
      <c r="G273" s="4"/>
      <c r="H273" s="4"/>
      <c r="I273" s="4"/>
      <c r="J273" s="4"/>
    </row>
    <row r="274" spans="1:10" x14ac:dyDescent="0.3">
      <c r="A274" s="49" t="s">
        <v>526</v>
      </c>
      <c r="B274" s="49">
        <f>'Part Pricing'!B134</f>
        <v>175.7</v>
      </c>
      <c r="C274" s="49">
        <v>1</v>
      </c>
      <c r="D274" s="133">
        <f>B274*C274</f>
        <v>175.7</v>
      </c>
      <c r="E274" s="49"/>
      <c r="F274" s="2"/>
      <c r="G274" s="2"/>
      <c r="H274" s="2"/>
      <c r="I274" s="2"/>
      <c r="J274" s="2"/>
    </row>
    <row r="275" spans="1:10" x14ac:dyDescent="0.3">
      <c r="A275" s="49" t="s">
        <v>548</v>
      </c>
      <c r="B275" s="49">
        <f>'Part Pricing'!B136</f>
        <v>33.97</v>
      </c>
      <c r="C275" s="49">
        <v>1</v>
      </c>
      <c r="D275" s="133">
        <f>B275*C275</f>
        <v>33.97</v>
      </c>
      <c r="E275" s="49"/>
      <c r="F275" s="2"/>
      <c r="G275" s="2"/>
      <c r="H275" s="2"/>
      <c r="I275" s="2"/>
      <c r="J275" s="2"/>
    </row>
    <row r="276" spans="1:10" x14ac:dyDescent="0.3">
      <c r="A276" s="49" t="s">
        <v>549</v>
      </c>
      <c r="B276" s="49"/>
      <c r="C276" s="49"/>
      <c r="D276" s="133">
        <f>B276*C276</f>
        <v>0</v>
      </c>
      <c r="E276" s="49"/>
      <c r="F276" s="2"/>
      <c r="G276" s="2"/>
      <c r="H276" s="2"/>
      <c r="I276" s="2"/>
      <c r="J276" s="2"/>
    </row>
    <row r="277" spans="1:10" x14ac:dyDescent="0.3">
      <c r="A277" s="49" t="s">
        <v>180</v>
      </c>
      <c r="B277" s="49">
        <f>'Part Pricing'!B192</f>
        <v>25.92</v>
      </c>
      <c r="C277" s="49">
        <v>1</v>
      </c>
      <c r="D277" s="133">
        <f>B277*C277</f>
        <v>25.92</v>
      </c>
      <c r="E277" s="49"/>
      <c r="F277" s="2"/>
      <c r="G277" s="2"/>
      <c r="H277" s="2"/>
      <c r="I277" s="2"/>
      <c r="J277" s="2"/>
    </row>
    <row r="278" spans="1:10" x14ac:dyDescent="0.3">
      <c r="A278" s="127" t="s">
        <v>164</v>
      </c>
      <c r="B278" s="49"/>
      <c r="C278" s="49"/>
      <c r="D278" s="133">
        <f>SUM(D274:D277)</f>
        <v>235.58999999999997</v>
      </c>
      <c r="E278" s="49"/>
      <c r="F278" s="2"/>
      <c r="G278" s="2"/>
      <c r="H278" s="2"/>
      <c r="I278" s="2"/>
      <c r="J278" s="2"/>
    </row>
    <row r="279" spans="1:10" x14ac:dyDescent="0.3">
      <c r="A279" s="127" t="s">
        <v>550</v>
      </c>
      <c r="B279" s="49"/>
      <c r="C279" s="49"/>
      <c r="D279" s="133"/>
      <c r="E279" s="49"/>
      <c r="F279" s="2"/>
      <c r="G279" s="2"/>
      <c r="H279" s="2"/>
      <c r="I279" s="2"/>
      <c r="J279" s="2"/>
    </row>
    <row r="280" spans="1:10" x14ac:dyDescent="0.3">
      <c r="A280" s="49" t="s">
        <v>526</v>
      </c>
      <c r="B280" s="49">
        <f>'Part Pricing'!B135</f>
        <v>187.75</v>
      </c>
      <c r="C280" s="49">
        <v>1</v>
      </c>
      <c r="D280" s="133">
        <f>B280*C280</f>
        <v>187.75</v>
      </c>
      <c r="E280" s="49"/>
      <c r="F280" s="2"/>
      <c r="G280" s="2"/>
      <c r="H280" s="2"/>
      <c r="I280" s="2"/>
      <c r="J280" s="2"/>
    </row>
    <row r="281" spans="1:10" x14ac:dyDescent="0.3">
      <c r="A281" s="49" t="s">
        <v>548</v>
      </c>
      <c r="B281" s="49">
        <f>'Part Pricing'!B136</f>
        <v>33.97</v>
      </c>
      <c r="C281" s="49">
        <v>1</v>
      </c>
      <c r="D281" s="133">
        <f>B281*C281</f>
        <v>33.97</v>
      </c>
      <c r="E281" s="49"/>
      <c r="F281" s="2"/>
      <c r="G281" s="2"/>
      <c r="H281" s="2"/>
      <c r="I281" s="2"/>
      <c r="J281" s="2"/>
    </row>
    <row r="282" spans="1:10" x14ac:dyDescent="0.3">
      <c r="A282" s="49" t="s">
        <v>549</v>
      </c>
      <c r="B282" s="49"/>
      <c r="C282" s="49"/>
      <c r="D282" s="133">
        <f>B282*C282</f>
        <v>0</v>
      </c>
      <c r="E282" s="49"/>
      <c r="F282" s="2"/>
      <c r="G282" s="2"/>
      <c r="H282" s="2"/>
      <c r="I282" s="2"/>
      <c r="J282" s="2"/>
    </row>
    <row r="283" spans="1:10" x14ac:dyDescent="0.3">
      <c r="A283" s="49" t="s">
        <v>180</v>
      </c>
      <c r="B283" s="49">
        <f>'Part Pricing'!B192</f>
        <v>25.92</v>
      </c>
      <c r="C283" s="49">
        <v>1</v>
      </c>
      <c r="D283" s="133">
        <f>B283*C283</f>
        <v>25.92</v>
      </c>
      <c r="E283" s="49"/>
      <c r="F283" s="2"/>
      <c r="G283" s="2"/>
      <c r="H283" s="2"/>
      <c r="I283" s="2"/>
      <c r="J283" s="2"/>
    </row>
    <row r="284" spans="1:10" x14ac:dyDescent="0.3">
      <c r="A284" s="127" t="s">
        <v>164</v>
      </c>
      <c r="B284" s="49"/>
      <c r="C284" s="49"/>
      <c r="D284" s="133">
        <f>SUM(D280:D283)</f>
        <v>247.64</v>
      </c>
      <c r="E284" s="49"/>
      <c r="F284" s="2"/>
      <c r="G284" s="2"/>
      <c r="H284" s="2"/>
      <c r="I284" s="2"/>
      <c r="J284" s="2"/>
    </row>
    <row r="285" spans="1:10" x14ac:dyDescent="0.3">
      <c r="A285" s="139" t="s">
        <v>835</v>
      </c>
      <c r="B285" s="81"/>
      <c r="C285" s="81"/>
      <c r="D285" s="85"/>
      <c r="E285" s="84"/>
      <c r="F285" s="7"/>
      <c r="G285" s="7"/>
      <c r="H285" s="7"/>
      <c r="I285" s="7"/>
      <c r="J285" s="7"/>
    </row>
    <row r="286" spans="1:10" x14ac:dyDescent="0.3">
      <c r="A286" s="81"/>
      <c r="B286" s="81"/>
      <c r="C286" s="81"/>
      <c r="D286" s="85"/>
      <c r="E286" s="84"/>
      <c r="F286" s="7"/>
      <c r="G286" s="7"/>
      <c r="H286" s="7"/>
      <c r="I286" s="7"/>
      <c r="J286" s="7"/>
    </row>
    <row r="287" spans="1:10" x14ac:dyDescent="0.3">
      <c r="E287" s="84"/>
      <c r="F287" s="7"/>
      <c r="G287" s="7"/>
      <c r="H287" s="7"/>
      <c r="I287" s="7"/>
      <c r="J287" s="7"/>
    </row>
    <row r="288" spans="1:10" x14ac:dyDescent="0.3">
      <c r="E288" s="84"/>
      <c r="F288" s="7"/>
      <c r="G288" s="7"/>
      <c r="H288" s="7"/>
      <c r="I288" s="7"/>
      <c r="J288" s="7"/>
    </row>
    <row r="289" spans="1:10" x14ac:dyDescent="0.3">
      <c r="E289" s="84"/>
      <c r="F289" s="7"/>
      <c r="G289" s="7"/>
      <c r="H289" s="7"/>
      <c r="I289" s="7"/>
      <c r="J289" s="7"/>
    </row>
    <row r="290" spans="1:10" x14ac:dyDescent="0.3">
      <c r="E290" s="84"/>
      <c r="F290" s="7"/>
      <c r="G290" s="7"/>
      <c r="H290" s="7"/>
      <c r="I290" s="7"/>
      <c r="J290" s="7"/>
    </row>
    <row r="291" spans="1:10" x14ac:dyDescent="0.3">
      <c r="E291" s="84"/>
      <c r="F291" s="7"/>
      <c r="G291" s="7"/>
      <c r="H291" s="7"/>
      <c r="I291" s="7"/>
      <c r="J291" s="7"/>
    </row>
    <row r="292" spans="1:10" x14ac:dyDescent="0.3">
      <c r="E292" s="84"/>
      <c r="F292" s="7"/>
      <c r="G292" s="7"/>
      <c r="H292" s="7"/>
      <c r="I292" s="7"/>
      <c r="J292" s="7"/>
    </row>
    <row r="293" spans="1:10" x14ac:dyDescent="0.3">
      <c r="E293" s="84"/>
      <c r="F293" s="7"/>
      <c r="G293" s="7"/>
      <c r="H293" s="7"/>
      <c r="I293" s="7"/>
      <c r="J293" s="7"/>
    </row>
    <row r="294" spans="1:10" x14ac:dyDescent="0.3">
      <c r="E294" s="84"/>
      <c r="F294" s="7"/>
      <c r="G294" s="7"/>
      <c r="H294" s="7"/>
      <c r="I294" s="7"/>
      <c r="J294" s="7"/>
    </row>
    <row r="295" spans="1:10" x14ac:dyDescent="0.3">
      <c r="E295" s="84"/>
      <c r="F295" s="7"/>
      <c r="G295" s="7"/>
      <c r="H295" s="7"/>
      <c r="I295" s="7"/>
      <c r="J295" s="7"/>
    </row>
    <row r="296" spans="1:10" x14ac:dyDescent="0.3">
      <c r="E296" s="84"/>
      <c r="F296" s="7"/>
      <c r="G296" s="7"/>
      <c r="H296" s="7"/>
      <c r="I296" s="7"/>
      <c r="J296" s="7"/>
    </row>
    <row r="297" spans="1:10" x14ac:dyDescent="0.3">
      <c r="E297" s="84"/>
      <c r="F297" s="7"/>
      <c r="G297" s="7"/>
      <c r="H297" s="7"/>
      <c r="I297" s="7"/>
      <c r="J297" s="7"/>
    </row>
    <row r="298" spans="1:10" x14ac:dyDescent="0.3">
      <c r="E298" s="84"/>
      <c r="F298" s="7"/>
      <c r="G298" s="7"/>
      <c r="H298" s="7"/>
      <c r="I298" s="7"/>
      <c r="J298" s="7"/>
    </row>
    <row r="299" spans="1:10" x14ac:dyDescent="0.3">
      <c r="E299" s="84"/>
      <c r="F299" s="7"/>
      <c r="G299" s="7"/>
      <c r="H299" s="7"/>
      <c r="I299" s="7"/>
      <c r="J299" s="7"/>
    </row>
    <row r="300" spans="1:10" x14ac:dyDescent="0.3">
      <c r="E300" s="81"/>
    </row>
    <row r="301" spans="1:10" x14ac:dyDescent="0.3">
      <c r="E301" s="81"/>
    </row>
    <row r="302" spans="1:10" x14ac:dyDescent="0.3">
      <c r="E302" s="81"/>
    </row>
    <row r="303" spans="1:10" x14ac:dyDescent="0.3">
      <c r="A303" s="81"/>
      <c r="B303" s="81"/>
      <c r="C303" s="81"/>
      <c r="D303" s="85"/>
      <c r="E303" s="81"/>
    </row>
    <row r="304" spans="1:10" x14ac:dyDescent="0.3">
      <c r="A304" s="81"/>
      <c r="B304" s="81"/>
      <c r="C304" s="81"/>
      <c r="D304" s="85"/>
      <c r="E304" s="81"/>
    </row>
  </sheetData>
  <pageMargins left="0.7" right="0.7" top="0.75" bottom="0.75" header="0.3" footer="0.3"/>
  <pageSetup paperSize="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6EB6-2DDB-4843-8E95-48AB6B7F3B70}">
  <sheetPr>
    <pageSetUpPr fitToPage="1"/>
  </sheetPr>
  <dimension ref="A1:K536"/>
  <sheetViews>
    <sheetView workbookViewId="0">
      <selection activeCell="C52" sqref="C52"/>
    </sheetView>
  </sheetViews>
  <sheetFormatPr defaultRowHeight="14.4" x14ac:dyDescent="0.3"/>
  <cols>
    <col min="1" max="1" width="37.44140625" customWidth="1"/>
    <col min="2" max="2" width="14.109375" customWidth="1"/>
  </cols>
  <sheetData>
    <row r="1" spans="1:11" x14ac:dyDescent="0.3">
      <c r="A1" s="4" t="s">
        <v>374</v>
      </c>
      <c r="B1" s="2"/>
      <c r="C1" s="2"/>
      <c r="D1" s="2"/>
      <c r="E1" s="2"/>
      <c r="F1" s="2"/>
      <c r="G1" s="2"/>
      <c r="H1" s="2"/>
      <c r="I1" s="2"/>
      <c r="J1" s="2"/>
      <c r="K1" s="2"/>
    </row>
    <row r="2" spans="1:11" x14ac:dyDescent="0.3">
      <c r="A2" s="2" t="s">
        <v>302</v>
      </c>
      <c r="B2" s="2">
        <v>1.86</v>
      </c>
      <c r="C2" s="2"/>
      <c r="D2" s="2"/>
      <c r="E2" s="2"/>
      <c r="F2" s="2"/>
      <c r="G2" s="2"/>
      <c r="H2" s="2"/>
      <c r="I2" s="2"/>
      <c r="J2" s="2"/>
      <c r="K2" s="2"/>
    </row>
    <row r="3" spans="1:11" x14ac:dyDescent="0.3">
      <c r="A3" s="2" t="s">
        <v>303</v>
      </c>
      <c r="B3" s="2">
        <v>16.59</v>
      </c>
      <c r="C3" s="2"/>
      <c r="D3" s="2"/>
      <c r="E3" s="2"/>
      <c r="F3" s="2"/>
      <c r="G3" s="2"/>
      <c r="H3" s="2"/>
      <c r="I3" s="2"/>
      <c r="J3" s="2"/>
      <c r="K3" s="2"/>
    </row>
    <row r="4" spans="1:11" x14ac:dyDescent="0.3">
      <c r="A4" s="2" t="s">
        <v>305</v>
      </c>
      <c r="B4" s="2">
        <v>3.66</v>
      </c>
      <c r="C4" s="2"/>
      <c r="D4" s="2"/>
      <c r="E4" s="2"/>
      <c r="F4" s="2"/>
      <c r="G4" s="2"/>
      <c r="H4" s="2"/>
      <c r="I4" s="2"/>
      <c r="J4" s="2"/>
      <c r="K4" s="2"/>
    </row>
    <row r="5" spans="1:11" x14ac:dyDescent="0.3">
      <c r="A5" s="2" t="s">
        <v>306</v>
      </c>
      <c r="B5" s="2">
        <v>4.01</v>
      </c>
      <c r="C5" s="2"/>
      <c r="D5" s="2"/>
      <c r="E5" s="2"/>
      <c r="F5" s="2"/>
      <c r="G5" s="2"/>
      <c r="H5" s="2"/>
      <c r="I5" s="2"/>
      <c r="J5" s="2"/>
      <c r="K5" s="2"/>
    </row>
    <row r="6" spans="1:11" x14ac:dyDescent="0.3">
      <c r="A6" s="2" t="s">
        <v>307</v>
      </c>
      <c r="B6" s="2">
        <v>107.38</v>
      </c>
      <c r="C6" s="2"/>
      <c r="D6" s="2"/>
      <c r="E6" s="2"/>
      <c r="F6" s="2"/>
      <c r="G6" s="2"/>
      <c r="H6" s="2"/>
      <c r="I6" s="2"/>
      <c r="J6" s="2"/>
      <c r="K6" s="2"/>
    </row>
    <row r="7" spans="1:11" x14ac:dyDescent="0.3">
      <c r="A7" s="2" t="s">
        <v>334</v>
      </c>
      <c r="B7" s="2">
        <v>12.42</v>
      </c>
      <c r="C7" s="2"/>
      <c r="D7" s="2"/>
      <c r="E7" s="2"/>
      <c r="F7" s="2"/>
      <c r="G7" s="2"/>
      <c r="H7" s="2"/>
      <c r="I7" s="2"/>
      <c r="J7" s="2"/>
      <c r="K7" s="2"/>
    </row>
    <row r="8" spans="1:11" x14ac:dyDescent="0.3">
      <c r="A8" s="2" t="s">
        <v>314</v>
      </c>
      <c r="B8" s="2">
        <v>3.42</v>
      </c>
      <c r="C8" s="2"/>
      <c r="D8" s="2"/>
      <c r="E8" s="2"/>
      <c r="F8" s="2"/>
      <c r="G8" s="2"/>
      <c r="H8" s="2"/>
      <c r="I8" s="2"/>
      <c r="J8" s="2"/>
      <c r="K8" s="2"/>
    </row>
    <row r="9" spans="1:11" x14ac:dyDescent="0.3">
      <c r="A9" s="2" t="s">
        <v>319</v>
      </c>
      <c r="B9" s="2">
        <v>13.57</v>
      </c>
      <c r="C9" s="2"/>
      <c r="D9" s="2"/>
      <c r="E9" s="2"/>
      <c r="F9" s="2"/>
      <c r="G9" s="2"/>
      <c r="H9" s="2"/>
      <c r="I9" s="2"/>
      <c r="J9" s="2"/>
      <c r="K9" s="2"/>
    </row>
    <row r="10" spans="1:11" x14ac:dyDescent="0.3">
      <c r="A10" s="2" t="s">
        <v>318</v>
      </c>
      <c r="B10" s="2">
        <v>35.1</v>
      </c>
      <c r="C10" s="2"/>
      <c r="D10" s="2"/>
      <c r="E10" s="2"/>
      <c r="F10" s="2"/>
      <c r="G10" s="2"/>
      <c r="H10" s="2"/>
      <c r="I10" s="2"/>
      <c r="J10" s="2"/>
      <c r="K10" s="2"/>
    </row>
    <row r="11" spans="1:11" x14ac:dyDescent="0.3">
      <c r="A11" s="2" t="s">
        <v>320</v>
      </c>
      <c r="B11" s="2">
        <v>11.69</v>
      </c>
      <c r="C11" s="2"/>
      <c r="D11" s="2"/>
      <c r="E11" s="2"/>
      <c r="F11" s="2"/>
      <c r="G11" s="2"/>
      <c r="H11" s="2"/>
      <c r="I11" s="2"/>
      <c r="J11" s="2"/>
      <c r="K11" s="2"/>
    </row>
    <row r="12" spans="1:11" x14ac:dyDescent="0.3">
      <c r="A12" s="2" t="s">
        <v>481</v>
      </c>
      <c r="B12" s="2">
        <v>64.88</v>
      </c>
      <c r="C12" s="2"/>
      <c r="D12" s="2"/>
      <c r="E12" s="2"/>
      <c r="F12" s="2"/>
      <c r="G12" s="2"/>
      <c r="H12" s="2"/>
      <c r="I12" s="2"/>
      <c r="J12" s="2"/>
      <c r="K12" s="2"/>
    </row>
    <row r="13" spans="1:11" x14ac:dyDescent="0.3">
      <c r="A13" s="2" t="s">
        <v>209</v>
      </c>
      <c r="B13" s="2">
        <v>80.81</v>
      </c>
      <c r="C13" s="2"/>
      <c r="D13" s="2"/>
      <c r="E13" s="2"/>
      <c r="F13" s="2"/>
      <c r="G13" s="2"/>
      <c r="H13" s="2"/>
      <c r="I13" s="2"/>
      <c r="J13" s="2"/>
      <c r="K13" s="2"/>
    </row>
    <row r="14" spans="1:11" x14ac:dyDescent="0.3">
      <c r="A14" s="2" t="s">
        <v>505</v>
      </c>
      <c r="B14" s="2">
        <v>43.26</v>
      </c>
      <c r="C14" s="2"/>
      <c r="D14" s="2"/>
      <c r="E14" s="2"/>
      <c r="F14" s="2"/>
      <c r="G14" s="2"/>
      <c r="H14" s="2"/>
      <c r="I14" s="2"/>
      <c r="J14" s="2"/>
      <c r="K14" s="2"/>
    </row>
    <row r="15" spans="1:11" x14ac:dyDescent="0.3">
      <c r="A15" s="2" t="s">
        <v>510</v>
      </c>
      <c r="B15" s="2">
        <v>61</v>
      </c>
      <c r="C15" s="2"/>
      <c r="D15" s="2"/>
      <c r="E15" s="2"/>
      <c r="F15" s="2"/>
      <c r="G15" s="2"/>
      <c r="H15" s="2"/>
      <c r="I15" s="2"/>
      <c r="J15" s="2"/>
      <c r="K15" s="2"/>
    </row>
    <row r="16" spans="1:11" x14ac:dyDescent="0.3">
      <c r="A16" s="2" t="s">
        <v>509</v>
      </c>
      <c r="B16" s="2">
        <v>28.73</v>
      </c>
      <c r="C16" s="2"/>
      <c r="D16" s="2"/>
      <c r="E16" s="2"/>
      <c r="F16" s="2"/>
      <c r="G16" s="2"/>
      <c r="H16" s="2"/>
      <c r="I16" s="2"/>
      <c r="J16" s="2"/>
      <c r="K16" s="2"/>
    </row>
    <row r="17" spans="1:11" x14ac:dyDescent="0.3">
      <c r="A17" s="2" t="s">
        <v>531</v>
      </c>
      <c r="B17" s="2">
        <v>13.91</v>
      </c>
      <c r="C17" s="2"/>
      <c r="D17" s="2"/>
      <c r="E17" s="2"/>
      <c r="F17" s="2"/>
      <c r="G17" s="2"/>
      <c r="H17" s="2"/>
      <c r="I17" s="2"/>
      <c r="J17" s="2"/>
      <c r="K17" s="2"/>
    </row>
    <row r="18" spans="1:11" x14ac:dyDescent="0.3">
      <c r="A18" s="4" t="s">
        <v>241</v>
      </c>
      <c r="B18" s="2" t="s">
        <v>372</v>
      </c>
      <c r="C18" s="2" t="s">
        <v>323</v>
      </c>
      <c r="D18" s="2" t="s">
        <v>380</v>
      </c>
      <c r="E18" s="2"/>
      <c r="F18" s="2"/>
      <c r="G18" s="2"/>
      <c r="H18" s="2"/>
      <c r="I18" s="2"/>
      <c r="J18" s="2"/>
      <c r="K18" s="2"/>
    </row>
    <row r="19" spans="1:11" x14ac:dyDescent="0.3">
      <c r="A19" s="2" t="s">
        <v>369</v>
      </c>
      <c r="B19" s="2">
        <v>452.48</v>
      </c>
      <c r="C19" s="2">
        <v>270.58</v>
      </c>
      <c r="D19" s="2">
        <v>269</v>
      </c>
      <c r="E19" s="2"/>
      <c r="F19" s="2"/>
      <c r="G19" s="2"/>
      <c r="H19" s="2"/>
      <c r="I19" s="2"/>
      <c r="J19" s="2"/>
      <c r="K19" s="2"/>
    </row>
    <row r="20" spans="1:11" x14ac:dyDescent="0.3">
      <c r="A20" s="2" t="s">
        <v>370</v>
      </c>
      <c r="B20" s="2">
        <v>250.95</v>
      </c>
      <c r="C20" s="2">
        <v>269.94</v>
      </c>
      <c r="D20" s="2">
        <v>239</v>
      </c>
      <c r="E20" s="2"/>
      <c r="F20" s="2"/>
      <c r="G20" s="2"/>
      <c r="H20" s="2"/>
      <c r="I20" s="2"/>
      <c r="J20" s="2"/>
      <c r="K20" s="2"/>
    </row>
    <row r="21" spans="1:11" x14ac:dyDescent="0.3">
      <c r="A21" s="2" t="s">
        <v>371</v>
      </c>
      <c r="B21" s="2">
        <v>195.34</v>
      </c>
      <c r="C21" s="2">
        <v>211.54</v>
      </c>
      <c r="D21" s="2"/>
      <c r="E21" s="2"/>
      <c r="F21" s="2"/>
      <c r="G21" s="2"/>
      <c r="H21" s="2"/>
      <c r="I21" s="2"/>
      <c r="J21" s="2"/>
      <c r="K21" s="2"/>
    </row>
    <row r="22" spans="1:11" x14ac:dyDescent="0.3">
      <c r="A22" s="2" t="s">
        <v>381</v>
      </c>
      <c r="B22" s="2"/>
      <c r="C22" s="2">
        <v>118.65</v>
      </c>
      <c r="D22" s="2"/>
      <c r="E22" s="2"/>
      <c r="F22" s="2"/>
      <c r="G22" s="2"/>
      <c r="H22" s="2"/>
      <c r="I22" s="2"/>
      <c r="J22" s="2"/>
      <c r="K22" s="2"/>
    </row>
    <row r="23" spans="1:11" x14ac:dyDescent="0.3">
      <c r="A23" s="2" t="s">
        <v>382</v>
      </c>
      <c r="B23" s="2"/>
      <c r="C23" s="2">
        <v>141.75</v>
      </c>
      <c r="D23" s="2"/>
      <c r="E23" s="2"/>
      <c r="F23" s="2"/>
      <c r="G23" s="2"/>
      <c r="H23" s="2"/>
      <c r="I23" s="2"/>
      <c r="J23" s="2"/>
      <c r="K23" s="2"/>
    </row>
    <row r="24" spans="1:11" x14ac:dyDescent="0.3">
      <c r="A24" s="2" t="s">
        <v>383</v>
      </c>
      <c r="B24" s="2"/>
      <c r="C24" s="2"/>
      <c r="D24" s="53">
        <v>40</v>
      </c>
      <c r="E24" s="2"/>
      <c r="F24" s="2"/>
      <c r="G24" s="2"/>
      <c r="H24" s="2"/>
      <c r="I24" s="2"/>
      <c r="J24" s="2"/>
      <c r="K24" s="2"/>
    </row>
    <row r="25" spans="1:11" x14ac:dyDescent="0.3">
      <c r="A25" s="4" t="s">
        <v>231</v>
      </c>
      <c r="B25" s="2" t="s">
        <v>291</v>
      </c>
      <c r="C25" s="2"/>
      <c r="D25" s="2"/>
      <c r="E25" s="2"/>
      <c r="F25" s="2"/>
      <c r="G25" s="2"/>
      <c r="H25" s="2"/>
      <c r="I25" s="2"/>
      <c r="J25" s="2"/>
      <c r="K25" s="2"/>
    </row>
    <row r="26" spans="1:11" x14ac:dyDescent="0.3">
      <c r="A26" s="2" t="s">
        <v>232</v>
      </c>
      <c r="B26" s="2">
        <v>7.05</v>
      </c>
      <c r="C26" s="2"/>
      <c r="D26" s="2"/>
      <c r="E26" s="2"/>
      <c r="F26" s="2"/>
      <c r="G26" s="2"/>
      <c r="H26" s="2"/>
      <c r="I26" s="2"/>
      <c r="J26" s="2"/>
      <c r="K26" s="2"/>
    </row>
    <row r="27" spans="1:11" x14ac:dyDescent="0.3">
      <c r="A27" s="2" t="s">
        <v>233</v>
      </c>
      <c r="B27" s="2">
        <v>1.99</v>
      </c>
      <c r="C27" s="2"/>
      <c r="D27" s="2"/>
      <c r="E27" s="2"/>
      <c r="F27" s="2"/>
      <c r="G27" s="2"/>
      <c r="H27" s="2"/>
      <c r="I27" s="2"/>
      <c r="J27" s="2"/>
      <c r="K27" s="2"/>
    </row>
    <row r="28" spans="1:11" x14ac:dyDescent="0.3">
      <c r="A28" s="2" t="s">
        <v>234</v>
      </c>
      <c r="B28" s="2">
        <v>20.07</v>
      </c>
      <c r="C28" s="2"/>
      <c r="D28" s="2"/>
      <c r="E28" s="2"/>
      <c r="F28" s="2"/>
      <c r="G28" s="2"/>
      <c r="H28" s="2"/>
      <c r="I28" s="2"/>
      <c r="J28" s="2"/>
      <c r="K28" s="2"/>
    </row>
    <row r="29" spans="1:11" x14ac:dyDescent="0.3">
      <c r="A29" s="2" t="s">
        <v>235</v>
      </c>
      <c r="B29" s="2">
        <v>4.3600000000000003</v>
      </c>
      <c r="C29" s="2"/>
      <c r="D29" s="2"/>
      <c r="E29" s="2"/>
      <c r="F29" s="2"/>
      <c r="G29" s="2"/>
      <c r="H29" s="2"/>
      <c r="I29" s="2"/>
      <c r="J29" s="2"/>
      <c r="K29" s="2"/>
    </row>
    <row r="30" spans="1:11" x14ac:dyDescent="0.3">
      <c r="A30" s="2" t="s">
        <v>332</v>
      </c>
      <c r="B30" s="2">
        <v>5.0599999999999996</v>
      </c>
      <c r="C30" s="2"/>
      <c r="D30" s="2"/>
      <c r="E30" s="2"/>
      <c r="F30" s="2"/>
      <c r="G30" s="2"/>
      <c r="H30" s="2"/>
      <c r="I30" s="2"/>
      <c r="J30" s="2"/>
      <c r="K30" s="2"/>
    </row>
    <row r="31" spans="1:11" x14ac:dyDescent="0.3">
      <c r="A31" s="2" t="s">
        <v>297</v>
      </c>
      <c r="B31" s="2">
        <v>6.04</v>
      </c>
      <c r="C31" s="2"/>
      <c r="D31" s="2"/>
      <c r="E31" s="2"/>
      <c r="F31" s="2"/>
      <c r="G31" s="2"/>
      <c r="H31" s="2"/>
      <c r="I31" s="2"/>
      <c r="J31" s="2"/>
      <c r="K31" s="2"/>
    </row>
    <row r="32" spans="1:11" x14ac:dyDescent="0.3">
      <c r="A32" s="2" t="s">
        <v>236</v>
      </c>
      <c r="B32" s="2">
        <v>5.98</v>
      </c>
      <c r="C32" s="2"/>
      <c r="D32" s="2"/>
      <c r="E32" s="2"/>
      <c r="F32" s="2"/>
      <c r="G32" s="2"/>
      <c r="H32" s="2"/>
      <c r="I32" s="2"/>
      <c r="J32" s="2"/>
      <c r="K32" s="2"/>
    </row>
    <row r="33" spans="1:11" x14ac:dyDescent="0.3">
      <c r="A33" s="2"/>
      <c r="B33" s="2"/>
      <c r="C33" s="2"/>
      <c r="D33" s="2"/>
      <c r="E33" s="2"/>
      <c r="F33" s="2"/>
      <c r="G33" s="2"/>
      <c r="H33" s="2"/>
      <c r="I33" s="2"/>
      <c r="J33" s="2"/>
      <c r="K33" s="2"/>
    </row>
    <row r="34" spans="1:11" s="81" customFormat="1" x14ac:dyDescent="0.3">
      <c r="A34" s="127" t="s">
        <v>189</v>
      </c>
      <c r="B34" s="49"/>
      <c r="C34" s="49"/>
      <c r="D34" s="49"/>
      <c r="E34" s="49"/>
      <c r="F34" s="49"/>
      <c r="G34" s="49"/>
      <c r="H34" s="49"/>
      <c r="I34" s="49"/>
      <c r="J34" s="49"/>
      <c r="K34" s="49"/>
    </row>
    <row r="35" spans="1:11" x14ac:dyDescent="0.3">
      <c r="A35" s="2" t="s">
        <v>190</v>
      </c>
      <c r="B35" s="2">
        <v>75</v>
      </c>
      <c r="C35" s="2"/>
      <c r="D35" s="2"/>
      <c r="E35" s="2"/>
      <c r="F35" s="2"/>
      <c r="G35" s="2"/>
      <c r="H35" s="2"/>
      <c r="I35" s="2"/>
      <c r="J35" s="2"/>
      <c r="K35" s="2"/>
    </row>
    <row r="36" spans="1:11" x14ac:dyDescent="0.3">
      <c r="A36" s="2" t="s">
        <v>191</v>
      </c>
      <c r="B36" s="2">
        <v>78.98</v>
      </c>
      <c r="C36" s="2"/>
      <c r="D36" s="2"/>
      <c r="E36" s="2"/>
      <c r="F36" s="2"/>
      <c r="G36" s="2"/>
      <c r="H36" s="2"/>
      <c r="I36" s="2"/>
      <c r="J36" s="2"/>
      <c r="K36" s="2"/>
    </row>
    <row r="37" spans="1:11" x14ac:dyDescent="0.3">
      <c r="A37" s="2" t="s">
        <v>192</v>
      </c>
      <c r="B37" s="2">
        <v>163.13</v>
      </c>
      <c r="C37" s="2"/>
      <c r="D37" s="2"/>
      <c r="E37" s="2"/>
      <c r="F37" s="2"/>
      <c r="G37" s="2"/>
      <c r="H37" s="2"/>
      <c r="I37" s="2"/>
      <c r="J37" s="2"/>
      <c r="K37" s="2"/>
    </row>
    <row r="38" spans="1:11" x14ac:dyDescent="0.3">
      <c r="A38" s="2" t="s">
        <v>324</v>
      </c>
      <c r="B38" s="2"/>
      <c r="C38" s="2"/>
      <c r="D38" s="2"/>
      <c r="E38" s="2"/>
      <c r="F38" s="2"/>
      <c r="G38" s="2"/>
      <c r="H38" s="2"/>
      <c r="I38" s="2"/>
      <c r="J38" s="2"/>
      <c r="K38" s="2"/>
    </row>
    <row r="39" spans="1:11" x14ac:dyDescent="0.3">
      <c r="A39" s="2" t="s">
        <v>259</v>
      </c>
      <c r="B39" s="2">
        <v>190.33</v>
      </c>
      <c r="C39" s="2"/>
      <c r="D39" s="2"/>
      <c r="E39" s="2"/>
      <c r="F39" s="2"/>
      <c r="G39" s="2"/>
      <c r="H39" s="2"/>
      <c r="I39" s="2"/>
      <c r="J39" s="2"/>
      <c r="K39" s="2"/>
    </row>
    <row r="40" spans="1:11" x14ac:dyDescent="0.3">
      <c r="A40" s="2"/>
      <c r="B40" s="2"/>
      <c r="C40" s="2"/>
      <c r="D40" s="2"/>
      <c r="E40" s="2"/>
      <c r="F40" s="2"/>
      <c r="G40" s="2"/>
      <c r="H40" s="2"/>
      <c r="I40" s="2"/>
      <c r="J40" s="2"/>
      <c r="K40" s="2"/>
    </row>
    <row r="41" spans="1:11" x14ac:dyDescent="0.3">
      <c r="A41" s="4" t="s">
        <v>211</v>
      </c>
      <c r="B41" s="154" t="s">
        <v>212</v>
      </c>
      <c r="C41" s="154" t="s">
        <v>213</v>
      </c>
      <c r="D41" s="154" t="s">
        <v>214</v>
      </c>
      <c r="E41" s="154" t="s">
        <v>215</v>
      </c>
      <c r="F41" s="154" t="s">
        <v>557</v>
      </c>
      <c r="G41" s="154"/>
      <c r="H41" s="154"/>
      <c r="I41" s="154"/>
      <c r="J41" s="154"/>
      <c r="K41" s="154"/>
    </row>
    <row r="42" spans="1:11" x14ac:dyDescent="0.3">
      <c r="A42" s="2" t="s">
        <v>216</v>
      </c>
      <c r="B42" s="155" t="s">
        <v>216</v>
      </c>
      <c r="C42" s="156"/>
      <c r="D42" s="156"/>
      <c r="E42" s="156"/>
      <c r="F42" s="157"/>
      <c r="G42" s="154"/>
      <c r="H42" s="154"/>
      <c r="I42" s="154"/>
      <c r="J42" s="154"/>
      <c r="K42" s="154"/>
    </row>
    <row r="43" spans="1:11" x14ac:dyDescent="0.3">
      <c r="A43" s="52">
        <v>90</v>
      </c>
      <c r="B43" s="2">
        <v>2.35</v>
      </c>
      <c r="C43" s="2">
        <v>0.54</v>
      </c>
      <c r="D43" s="2">
        <v>0.3</v>
      </c>
      <c r="E43" s="2">
        <v>1.51</v>
      </c>
      <c r="F43" s="2"/>
      <c r="G43" s="52"/>
      <c r="H43" s="2"/>
      <c r="I43" s="2"/>
      <c r="J43" s="2"/>
      <c r="K43" s="2"/>
    </row>
    <row r="44" spans="1:11" x14ac:dyDescent="0.3">
      <c r="A44" s="52">
        <v>45</v>
      </c>
      <c r="B44" s="2">
        <v>2.83</v>
      </c>
      <c r="C44" s="2">
        <v>1.02</v>
      </c>
      <c r="D44" s="2">
        <v>0.5</v>
      </c>
      <c r="E44" s="2"/>
      <c r="F44" s="2"/>
      <c r="G44" s="52"/>
      <c r="H44" s="2"/>
      <c r="I44" s="2"/>
      <c r="J44" s="2"/>
      <c r="K44" s="2"/>
    </row>
    <row r="45" spans="1:11" x14ac:dyDescent="0.3">
      <c r="A45" s="2" t="s">
        <v>217</v>
      </c>
      <c r="B45" s="2">
        <v>2.12</v>
      </c>
      <c r="C45" s="2">
        <v>0.42</v>
      </c>
      <c r="D45" s="2">
        <v>0.2</v>
      </c>
      <c r="E45" s="2">
        <v>2.04</v>
      </c>
      <c r="F45" s="2"/>
      <c r="G45" s="2"/>
      <c r="H45" s="2"/>
      <c r="I45" s="2"/>
      <c r="J45" s="2"/>
      <c r="K45" s="2"/>
    </row>
    <row r="46" spans="1:11" x14ac:dyDescent="0.3">
      <c r="A46" s="2" t="s">
        <v>260</v>
      </c>
      <c r="B46" s="2">
        <v>5.24</v>
      </c>
      <c r="C46" s="2" t="s">
        <v>851</v>
      </c>
      <c r="D46" s="2"/>
      <c r="E46" s="2"/>
      <c r="F46" s="2"/>
      <c r="G46" s="2"/>
      <c r="H46" s="2"/>
      <c r="I46" s="2"/>
      <c r="J46" s="2"/>
      <c r="K46" s="2"/>
    </row>
    <row r="47" spans="1:11" x14ac:dyDescent="0.3">
      <c r="A47" s="2" t="s">
        <v>218</v>
      </c>
      <c r="B47" s="2">
        <v>2.76</v>
      </c>
      <c r="C47" s="2">
        <v>1.1399999999999999</v>
      </c>
      <c r="D47" s="2">
        <v>0.27</v>
      </c>
      <c r="E47" s="2"/>
      <c r="F47" s="2"/>
      <c r="G47" s="2"/>
      <c r="H47" s="2"/>
      <c r="I47" s="2"/>
      <c r="J47" s="2"/>
      <c r="K47" s="2"/>
    </row>
    <row r="48" spans="1:11" x14ac:dyDescent="0.3">
      <c r="A48" s="2" t="s">
        <v>219</v>
      </c>
      <c r="B48" s="2">
        <v>3.44</v>
      </c>
      <c r="C48" s="2">
        <v>1.82</v>
      </c>
      <c r="D48" s="2">
        <v>0.34</v>
      </c>
      <c r="E48" s="2"/>
      <c r="F48" s="2"/>
      <c r="G48" s="2"/>
      <c r="H48" s="2"/>
      <c r="I48" s="2"/>
      <c r="J48" s="2"/>
      <c r="K48" s="2"/>
    </row>
    <row r="49" spans="1:11" x14ac:dyDescent="0.3">
      <c r="A49" s="2" t="s">
        <v>220</v>
      </c>
      <c r="B49" s="2">
        <v>3.58</v>
      </c>
      <c r="C49" s="2">
        <v>0.93</v>
      </c>
      <c r="D49" s="2">
        <v>0.38</v>
      </c>
      <c r="E49" s="2">
        <v>1.98</v>
      </c>
      <c r="F49" s="2"/>
      <c r="G49" s="2"/>
      <c r="H49" s="2"/>
      <c r="I49" s="2"/>
      <c r="J49" s="2"/>
      <c r="K49" s="2"/>
    </row>
    <row r="50" spans="1:11" x14ac:dyDescent="0.3">
      <c r="A50" s="2" t="s">
        <v>221</v>
      </c>
      <c r="B50" s="2">
        <v>2.44</v>
      </c>
      <c r="C50" s="2">
        <v>0.82</v>
      </c>
      <c r="D50" s="2">
        <v>0.85</v>
      </c>
      <c r="E50" s="2">
        <v>3.12</v>
      </c>
      <c r="F50" s="2"/>
      <c r="G50" s="2"/>
      <c r="H50" s="2"/>
      <c r="I50" s="2"/>
      <c r="J50" s="2"/>
      <c r="K50" s="2"/>
    </row>
    <row r="51" spans="1:11" x14ac:dyDescent="0.3">
      <c r="A51" s="2" t="s">
        <v>222</v>
      </c>
      <c r="B51" s="2">
        <v>2.2400000000000002</v>
      </c>
      <c r="C51" s="2">
        <v>1.1599999999999999</v>
      </c>
      <c r="D51" s="2"/>
      <c r="E51" s="2"/>
      <c r="F51" s="2"/>
      <c r="G51" s="2"/>
      <c r="H51" s="2"/>
      <c r="I51" s="2"/>
      <c r="J51" s="2"/>
      <c r="K51" s="2"/>
    </row>
    <row r="52" spans="1:11" x14ac:dyDescent="0.3">
      <c r="A52" s="2"/>
      <c r="B52" s="2"/>
      <c r="C52" s="2"/>
      <c r="D52" s="2"/>
      <c r="E52" s="2"/>
      <c r="F52" s="2"/>
      <c r="G52" s="2"/>
      <c r="H52" s="2"/>
      <c r="I52" s="2"/>
      <c r="J52" s="2"/>
      <c r="K52" s="2"/>
    </row>
    <row r="53" spans="1:11" x14ac:dyDescent="0.3">
      <c r="A53" s="2"/>
      <c r="B53" s="158" t="s">
        <v>223</v>
      </c>
      <c r="C53" s="159"/>
      <c r="D53" s="159"/>
      <c r="E53" s="159"/>
      <c r="F53" s="160"/>
      <c r="G53" s="2"/>
      <c r="H53" s="2"/>
      <c r="I53" s="2"/>
      <c r="J53" s="2"/>
      <c r="K53" s="2"/>
    </row>
    <row r="54" spans="1:11" x14ac:dyDescent="0.3">
      <c r="A54" s="2" t="s">
        <v>223</v>
      </c>
      <c r="B54" s="151" t="s">
        <v>212</v>
      </c>
      <c r="C54" s="152" t="s">
        <v>213</v>
      </c>
      <c r="D54" s="152" t="s">
        <v>214</v>
      </c>
      <c r="E54" s="152" t="s">
        <v>215</v>
      </c>
      <c r="F54" s="153" t="s">
        <v>557</v>
      </c>
      <c r="G54" s="154"/>
      <c r="H54" s="154"/>
      <c r="I54" s="154"/>
      <c r="J54" s="154"/>
      <c r="K54" s="154"/>
    </row>
    <row r="55" spans="1:11" x14ac:dyDescent="0.3">
      <c r="A55" s="52">
        <v>90</v>
      </c>
      <c r="B55" s="2">
        <v>3.94</v>
      </c>
      <c r="C55" s="2">
        <v>1.2</v>
      </c>
      <c r="D55" s="2">
        <v>0.34</v>
      </c>
      <c r="E55" s="2">
        <v>1.83</v>
      </c>
      <c r="F55" s="2"/>
      <c r="G55" s="52"/>
      <c r="H55" s="2"/>
      <c r="I55" s="2"/>
      <c r="J55" s="2"/>
      <c r="K55" s="2"/>
    </row>
    <row r="56" spans="1:11" x14ac:dyDescent="0.3">
      <c r="A56" s="52">
        <v>45</v>
      </c>
      <c r="B56" s="2">
        <v>3.47</v>
      </c>
      <c r="C56" s="2">
        <v>1.84</v>
      </c>
      <c r="D56" s="2">
        <v>0.78</v>
      </c>
      <c r="E56" s="2">
        <v>3</v>
      </c>
      <c r="F56" s="2"/>
      <c r="G56" s="52"/>
      <c r="H56" s="2"/>
      <c r="I56" s="2"/>
      <c r="J56" s="2"/>
      <c r="K56" s="2"/>
    </row>
    <row r="57" spans="1:11" x14ac:dyDescent="0.3">
      <c r="A57" s="2" t="s">
        <v>217</v>
      </c>
      <c r="B57" s="2">
        <v>3.2</v>
      </c>
      <c r="C57" s="2">
        <v>0.83</v>
      </c>
      <c r="D57" s="2">
        <v>0.27</v>
      </c>
      <c r="E57" s="2">
        <v>2.41</v>
      </c>
      <c r="F57" s="2"/>
      <c r="G57" s="2"/>
      <c r="H57" s="2"/>
      <c r="I57" s="2"/>
      <c r="J57" s="2"/>
      <c r="K57" s="2"/>
    </row>
    <row r="58" spans="1:11" x14ac:dyDescent="0.3">
      <c r="A58" s="2" t="s">
        <v>292</v>
      </c>
      <c r="B58" s="2">
        <v>6.88</v>
      </c>
      <c r="C58" s="2"/>
      <c r="D58" s="2"/>
      <c r="E58" s="2"/>
      <c r="F58" s="2"/>
      <c r="G58" s="2"/>
      <c r="H58" s="2"/>
      <c r="I58" s="2"/>
      <c r="J58" s="2"/>
      <c r="K58" s="2"/>
    </row>
    <row r="59" spans="1:11" x14ac:dyDescent="0.3">
      <c r="A59" s="2" t="s">
        <v>218</v>
      </c>
      <c r="B59" s="2">
        <v>4.96</v>
      </c>
      <c r="C59" s="2">
        <v>1.93</v>
      </c>
      <c r="D59" s="2">
        <v>0.3</v>
      </c>
      <c r="E59" s="2"/>
      <c r="F59" s="2"/>
      <c r="G59" s="2"/>
      <c r="H59" s="2"/>
      <c r="I59" s="2"/>
      <c r="J59" s="2"/>
      <c r="K59" s="2"/>
    </row>
    <row r="60" spans="1:11" x14ac:dyDescent="0.3">
      <c r="A60" s="2" t="s">
        <v>219</v>
      </c>
      <c r="B60" s="2">
        <v>5.38</v>
      </c>
      <c r="C60" s="2">
        <v>2.5</v>
      </c>
      <c r="D60" s="2">
        <v>0.43</v>
      </c>
      <c r="E60" s="2"/>
      <c r="F60" s="2"/>
      <c r="G60" s="2"/>
      <c r="H60" s="2"/>
      <c r="I60" s="2"/>
      <c r="J60" s="2"/>
      <c r="K60" s="2"/>
    </row>
    <row r="61" spans="1:11" x14ac:dyDescent="0.3">
      <c r="A61" s="2" t="s">
        <v>220</v>
      </c>
      <c r="B61" s="2">
        <v>6.27</v>
      </c>
      <c r="C61" s="2">
        <v>2.25</v>
      </c>
      <c r="D61" s="2">
        <v>0.43</v>
      </c>
      <c r="E61" s="2">
        <v>2.78</v>
      </c>
      <c r="F61" s="2"/>
      <c r="G61" s="2"/>
      <c r="H61" s="2"/>
      <c r="I61" s="2"/>
      <c r="J61" s="2"/>
      <c r="K61" s="2"/>
    </row>
    <row r="62" spans="1:11" x14ac:dyDescent="0.3">
      <c r="A62" s="2" t="s">
        <v>221</v>
      </c>
      <c r="B62" s="2">
        <v>4.0999999999999996</v>
      </c>
      <c r="C62" s="2">
        <v>1.73</v>
      </c>
      <c r="D62" s="2">
        <v>1.05</v>
      </c>
      <c r="E62" s="2">
        <v>3.04</v>
      </c>
      <c r="F62" s="2"/>
      <c r="G62" s="2"/>
      <c r="H62" s="2"/>
      <c r="I62" s="2"/>
      <c r="J62" s="2"/>
      <c r="K62" s="2"/>
    </row>
    <row r="63" spans="1:11" x14ac:dyDescent="0.3">
      <c r="A63" s="2" t="s">
        <v>222</v>
      </c>
      <c r="B63" s="2">
        <v>3.3</v>
      </c>
      <c r="C63" s="2">
        <v>1.72</v>
      </c>
      <c r="D63" s="2"/>
      <c r="E63" s="2"/>
      <c r="F63" s="2"/>
      <c r="G63" s="2"/>
      <c r="H63" s="2"/>
      <c r="I63" s="2"/>
      <c r="J63" s="2"/>
      <c r="K63" s="2"/>
    </row>
    <row r="64" spans="1:11" x14ac:dyDescent="0.3">
      <c r="A64" s="2"/>
      <c r="B64" s="2"/>
      <c r="C64" s="2"/>
      <c r="D64" s="2"/>
      <c r="E64" s="2"/>
      <c r="F64" s="2"/>
      <c r="G64" s="2"/>
      <c r="H64" s="2"/>
      <c r="I64" s="2"/>
      <c r="J64" s="2"/>
      <c r="K64" s="2"/>
    </row>
    <row r="65" spans="1:11" x14ac:dyDescent="0.3">
      <c r="A65" s="2"/>
      <c r="B65" s="155" t="s">
        <v>224</v>
      </c>
      <c r="C65" s="156"/>
      <c r="D65" s="156"/>
      <c r="E65" s="156"/>
      <c r="F65" s="157"/>
      <c r="G65" s="2"/>
      <c r="H65" s="2"/>
      <c r="I65" s="2"/>
      <c r="J65" s="2"/>
      <c r="K65" s="2"/>
    </row>
    <row r="66" spans="1:11" x14ac:dyDescent="0.3">
      <c r="A66" s="2" t="s">
        <v>224</v>
      </c>
      <c r="B66" s="154" t="s">
        <v>212</v>
      </c>
      <c r="C66" s="154" t="s">
        <v>213</v>
      </c>
      <c r="D66" s="154" t="s">
        <v>214</v>
      </c>
      <c r="E66" s="154" t="s">
        <v>215</v>
      </c>
      <c r="F66" s="154" t="s">
        <v>557</v>
      </c>
      <c r="G66" s="154"/>
      <c r="H66" s="154"/>
      <c r="I66" s="154"/>
      <c r="J66" s="154"/>
      <c r="K66" s="154"/>
    </row>
    <row r="67" spans="1:11" x14ac:dyDescent="0.3">
      <c r="A67" s="52">
        <v>90</v>
      </c>
      <c r="B67" s="2">
        <v>7.87</v>
      </c>
      <c r="C67" s="2">
        <v>2.94</v>
      </c>
      <c r="D67" s="2">
        <v>0.61</v>
      </c>
      <c r="E67" s="2">
        <v>3.21</v>
      </c>
      <c r="F67" s="2"/>
      <c r="G67" s="52"/>
      <c r="H67" s="2"/>
      <c r="I67" s="2"/>
      <c r="J67" s="2"/>
      <c r="K67" s="2"/>
    </row>
    <row r="68" spans="1:11" x14ac:dyDescent="0.3">
      <c r="A68" s="52">
        <v>45</v>
      </c>
      <c r="B68" s="2">
        <v>11.07</v>
      </c>
      <c r="C68" s="2">
        <v>4.6100000000000003</v>
      </c>
      <c r="D68" s="2">
        <v>0.93</v>
      </c>
      <c r="E68" s="2">
        <v>3.83</v>
      </c>
      <c r="F68" s="2"/>
      <c r="G68" s="52"/>
      <c r="H68" s="2"/>
      <c r="I68" s="2"/>
      <c r="J68" s="2"/>
      <c r="K68" s="2"/>
    </row>
    <row r="69" spans="1:11" x14ac:dyDescent="0.3">
      <c r="A69" s="2" t="s">
        <v>293</v>
      </c>
      <c r="B69" s="2">
        <v>6.42</v>
      </c>
      <c r="C69" s="2">
        <v>1.65</v>
      </c>
      <c r="D69" s="2">
        <v>0.48</v>
      </c>
      <c r="E69" s="2">
        <v>3.64</v>
      </c>
      <c r="F69" s="2"/>
      <c r="G69" s="2"/>
      <c r="H69" s="2"/>
      <c r="I69" s="2"/>
      <c r="J69" s="2"/>
      <c r="K69" s="2"/>
    </row>
    <row r="70" spans="1:11" x14ac:dyDescent="0.3">
      <c r="A70" s="2" t="s">
        <v>292</v>
      </c>
      <c r="B70" s="2">
        <v>8.75</v>
      </c>
      <c r="C70" s="2"/>
      <c r="D70" s="2"/>
      <c r="E70" s="2"/>
      <c r="F70" s="2"/>
      <c r="G70" s="2"/>
      <c r="H70" s="2"/>
      <c r="I70" s="2"/>
      <c r="J70" s="2"/>
      <c r="K70" s="2"/>
    </row>
    <row r="71" spans="1:11" x14ac:dyDescent="0.3">
      <c r="A71" s="2" t="s">
        <v>218</v>
      </c>
      <c r="B71" s="2">
        <v>9.26</v>
      </c>
      <c r="C71" s="2">
        <v>4.92</v>
      </c>
      <c r="D71" s="2">
        <v>0.54</v>
      </c>
      <c r="E71" s="2"/>
      <c r="F71" s="2"/>
      <c r="G71" s="2"/>
      <c r="H71" s="2"/>
      <c r="I71" s="2"/>
      <c r="J71" s="2"/>
      <c r="K71" s="2"/>
    </row>
    <row r="72" spans="1:11" x14ac:dyDescent="0.3">
      <c r="A72" s="2" t="s">
        <v>219</v>
      </c>
      <c r="B72" s="2">
        <v>10.29</v>
      </c>
      <c r="C72" s="2">
        <v>5.71</v>
      </c>
      <c r="D72" s="2">
        <v>0.5</v>
      </c>
      <c r="E72" s="2"/>
      <c r="F72" s="2"/>
      <c r="G72" s="2"/>
      <c r="H72" s="2"/>
      <c r="I72" s="2"/>
      <c r="J72" s="2"/>
      <c r="K72" s="2"/>
    </row>
    <row r="73" spans="1:11" x14ac:dyDescent="0.3">
      <c r="A73" s="2" t="s">
        <v>220</v>
      </c>
      <c r="B73" s="2">
        <v>11.49</v>
      </c>
      <c r="C73" s="2">
        <v>6.92</v>
      </c>
      <c r="D73" s="2">
        <v>0.81</v>
      </c>
      <c r="E73" s="2">
        <v>4.91</v>
      </c>
      <c r="F73" s="2"/>
      <c r="G73" s="2"/>
      <c r="H73" s="2"/>
      <c r="I73" s="2"/>
      <c r="J73" s="2"/>
      <c r="K73" s="2"/>
    </row>
    <row r="74" spans="1:11" x14ac:dyDescent="0.3">
      <c r="A74" s="2" t="s">
        <v>225</v>
      </c>
      <c r="B74" s="2">
        <v>9.4</v>
      </c>
      <c r="C74" s="2">
        <v>4.55</v>
      </c>
      <c r="D74" s="2">
        <v>1.8</v>
      </c>
      <c r="E74" s="2">
        <v>4.38</v>
      </c>
      <c r="F74" s="2"/>
      <c r="G74" s="2"/>
      <c r="H74" s="2"/>
      <c r="I74" s="2"/>
      <c r="J74" s="2"/>
      <c r="K74" s="2"/>
    </row>
    <row r="75" spans="1:11" x14ac:dyDescent="0.3">
      <c r="A75" s="2" t="s">
        <v>226</v>
      </c>
      <c r="B75" s="2">
        <v>10.82</v>
      </c>
      <c r="C75" s="2">
        <v>5.63</v>
      </c>
      <c r="D75" s="2"/>
      <c r="E75" s="2"/>
      <c r="F75" s="2"/>
      <c r="G75" s="2"/>
      <c r="H75" s="2"/>
      <c r="I75" s="2"/>
      <c r="J75" s="2"/>
      <c r="K75" s="2"/>
    </row>
    <row r="76" spans="1:11" x14ac:dyDescent="0.3">
      <c r="A76" s="2"/>
      <c r="B76" s="2"/>
      <c r="C76" s="2"/>
      <c r="D76" s="2"/>
      <c r="E76" s="2"/>
      <c r="F76" s="2"/>
      <c r="G76" s="2"/>
      <c r="H76" s="2"/>
      <c r="I76" s="2"/>
      <c r="J76" s="2"/>
      <c r="K76" s="2"/>
    </row>
    <row r="77" spans="1:11" x14ac:dyDescent="0.3">
      <c r="A77" s="4" t="s">
        <v>242</v>
      </c>
      <c r="B77" s="2"/>
      <c r="C77" s="2"/>
      <c r="D77" s="2"/>
      <c r="E77" s="2"/>
      <c r="F77" s="2"/>
      <c r="G77" s="2"/>
      <c r="H77" s="2"/>
      <c r="I77" s="2"/>
      <c r="J77" s="2"/>
      <c r="K77" s="2"/>
    </row>
    <row r="78" spans="1:11" x14ac:dyDescent="0.3">
      <c r="A78" s="2" t="s">
        <v>243</v>
      </c>
      <c r="B78" s="2">
        <v>4.87</v>
      </c>
      <c r="C78" s="2"/>
      <c r="D78" s="2"/>
      <c r="E78" s="2"/>
      <c r="F78" s="2"/>
      <c r="G78" s="2"/>
      <c r="H78" s="2"/>
      <c r="I78" s="2"/>
      <c r="J78" s="2"/>
      <c r="K78" s="2"/>
    </row>
    <row r="79" spans="1:11" x14ac:dyDescent="0.3">
      <c r="A79" s="2" t="s">
        <v>244</v>
      </c>
      <c r="B79" s="2">
        <v>9.25</v>
      </c>
      <c r="C79" s="2"/>
      <c r="D79" s="2"/>
      <c r="E79" s="2"/>
      <c r="F79" s="2"/>
      <c r="G79" s="2"/>
      <c r="H79" s="2"/>
      <c r="I79" s="2"/>
      <c r="J79" s="2"/>
      <c r="K79" s="2"/>
    </row>
    <row r="80" spans="1:11" x14ac:dyDescent="0.3">
      <c r="A80" s="2" t="s">
        <v>245</v>
      </c>
      <c r="B80" s="2">
        <v>8.49</v>
      </c>
      <c r="C80" s="2"/>
      <c r="D80" s="2"/>
      <c r="E80" s="2"/>
      <c r="F80" s="2"/>
      <c r="G80" s="2"/>
      <c r="H80" s="2"/>
      <c r="I80" s="2"/>
      <c r="J80" s="2"/>
      <c r="K80" s="2"/>
    </row>
    <row r="81" spans="1:11" x14ac:dyDescent="0.3">
      <c r="A81" s="2" t="s">
        <v>246</v>
      </c>
      <c r="B81" s="2">
        <v>16.8</v>
      </c>
      <c r="C81" s="2"/>
      <c r="D81" s="2"/>
      <c r="E81" s="2"/>
      <c r="F81" s="2"/>
      <c r="G81" s="2"/>
      <c r="H81" s="2"/>
      <c r="I81" s="2"/>
      <c r="J81" s="2"/>
      <c r="K81" s="2"/>
    </row>
    <row r="82" spans="1:11" x14ac:dyDescent="0.3">
      <c r="A82" s="2" t="s">
        <v>299</v>
      </c>
      <c r="B82" s="154" t="s">
        <v>295</v>
      </c>
      <c r="C82" s="154" t="s">
        <v>296</v>
      </c>
      <c r="D82" s="2"/>
      <c r="E82" s="2"/>
      <c r="F82" s="2"/>
      <c r="G82" s="2"/>
      <c r="H82" s="2"/>
      <c r="I82" s="2"/>
      <c r="J82" s="2"/>
      <c r="K82" s="2"/>
    </row>
    <row r="83" spans="1:11" x14ac:dyDescent="0.3">
      <c r="A83" s="2" t="s">
        <v>247</v>
      </c>
      <c r="B83" s="2">
        <v>21.46</v>
      </c>
      <c r="C83" s="2">
        <f t="shared" ref="C83:C88" si="0">B83/20</f>
        <v>1.073</v>
      </c>
      <c r="D83" s="2"/>
      <c r="E83" s="2"/>
      <c r="F83" s="2"/>
      <c r="G83" s="2"/>
      <c r="H83" s="2"/>
      <c r="I83" s="2"/>
      <c r="J83" s="2"/>
      <c r="K83" s="2"/>
    </row>
    <row r="84" spans="1:11" x14ac:dyDescent="0.3">
      <c r="A84" s="2" t="s">
        <v>248</v>
      </c>
      <c r="B84" s="2">
        <v>23.6</v>
      </c>
      <c r="C84" s="2">
        <f t="shared" si="0"/>
        <v>1.1800000000000002</v>
      </c>
      <c r="D84" s="2"/>
      <c r="E84" s="2"/>
      <c r="F84" s="2"/>
      <c r="G84" s="2"/>
      <c r="H84" s="2"/>
      <c r="I84" s="2"/>
      <c r="J84" s="2"/>
      <c r="K84" s="2"/>
    </row>
    <row r="85" spans="1:11" x14ac:dyDescent="0.3">
      <c r="A85" s="2" t="s">
        <v>249</v>
      </c>
      <c r="B85" s="2">
        <v>48.56</v>
      </c>
      <c r="C85" s="2">
        <f t="shared" si="0"/>
        <v>2.4279999999999999</v>
      </c>
      <c r="D85" s="2"/>
      <c r="E85" s="2"/>
      <c r="F85" s="2"/>
      <c r="G85" s="2"/>
      <c r="H85" s="2"/>
      <c r="I85" s="2"/>
      <c r="J85" s="2"/>
      <c r="K85" s="2"/>
    </row>
    <row r="86" spans="1:11" x14ac:dyDescent="0.3">
      <c r="A86" s="2" t="s">
        <v>250</v>
      </c>
      <c r="B86" s="2">
        <v>42.45</v>
      </c>
      <c r="C86" s="2">
        <f t="shared" si="0"/>
        <v>2.1225000000000001</v>
      </c>
      <c r="D86" s="2"/>
      <c r="E86" s="2"/>
      <c r="F86" s="2"/>
      <c r="G86" s="2"/>
      <c r="H86" s="2"/>
      <c r="I86" s="2"/>
      <c r="J86" s="2"/>
      <c r="K86" s="2"/>
    </row>
    <row r="87" spans="1:11" x14ac:dyDescent="0.3">
      <c r="A87" s="2" t="s">
        <v>251</v>
      </c>
      <c r="B87" s="2">
        <v>68.52</v>
      </c>
      <c r="C87" s="2">
        <f t="shared" si="0"/>
        <v>3.4259999999999997</v>
      </c>
      <c r="D87" s="2"/>
      <c r="E87" s="2"/>
      <c r="F87" s="2"/>
      <c r="G87" s="2"/>
      <c r="H87" s="2"/>
      <c r="I87" s="2"/>
      <c r="J87" s="2"/>
      <c r="K87" s="2"/>
    </row>
    <row r="88" spans="1:11" x14ac:dyDescent="0.3">
      <c r="A88" s="2" t="s">
        <v>252</v>
      </c>
      <c r="B88" s="2">
        <v>78.430000000000007</v>
      </c>
      <c r="C88" s="2">
        <f t="shared" si="0"/>
        <v>3.9215000000000004</v>
      </c>
      <c r="D88" s="2"/>
      <c r="E88" s="2"/>
      <c r="F88" s="2"/>
      <c r="G88" s="2"/>
      <c r="H88" s="2"/>
      <c r="I88" s="2"/>
      <c r="J88" s="2"/>
      <c r="K88" s="2"/>
    </row>
    <row r="89" spans="1:11" x14ac:dyDescent="0.3">
      <c r="A89" s="2" t="s">
        <v>211</v>
      </c>
      <c r="B89" s="154" t="s">
        <v>253</v>
      </c>
      <c r="C89" s="154" t="s">
        <v>254</v>
      </c>
      <c r="D89" s="154" t="s">
        <v>255</v>
      </c>
      <c r="E89" s="2"/>
      <c r="F89" s="2"/>
      <c r="G89" s="2"/>
      <c r="H89" s="2"/>
      <c r="I89" s="2"/>
      <c r="J89" s="2"/>
      <c r="K89" s="2"/>
    </row>
    <row r="90" spans="1:11" x14ac:dyDescent="0.3">
      <c r="A90" s="2" t="s">
        <v>256</v>
      </c>
      <c r="B90" s="2">
        <v>5.19</v>
      </c>
      <c r="C90" s="2">
        <v>6.82</v>
      </c>
      <c r="D90" s="2">
        <v>11.69</v>
      </c>
      <c r="E90" s="2"/>
      <c r="F90" s="2"/>
      <c r="G90" s="2"/>
      <c r="H90" s="2"/>
      <c r="I90" s="2"/>
      <c r="J90" s="2"/>
      <c r="K90" s="2"/>
    </row>
    <row r="91" spans="1:11" x14ac:dyDescent="0.3">
      <c r="A91" s="2" t="s">
        <v>257</v>
      </c>
      <c r="B91" s="2">
        <v>7.96</v>
      </c>
      <c r="C91" s="2">
        <v>9.91</v>
      </c>
      <c r="D91" s="2">
        <v>16.829999999999998</v>
      </c>
      <c r="E91" s="2"/>
      <c r="F91" s="2"/>
      <c r="G91" s="2"/>
      <c r="H91" s="2"/>
      <c r="I91" s="2"/>
      <c r="J91" s="2"/>
      <c r="K91" s="2"/>
    </row>
    <row r="92" spans="1:11" x14ac:dyDescent="0.3">
      <c r="A92" s="2" t="s">
        <v>258</v>
      </c>
      <c r="B92" s="2">
        <v>4.67</v>
      </c>
      <c r="C92" s="2">
        <v>6.23</v>
      </c>
      <c r="D92" s="2">
        <v>9.08</v>
      </c>
      <c r="E92" s="2"/>
      <c r="F92" s="2"/>
      <c r="G92" s="2"/>
      <c r="H92" s="2"/>
      <c r="I92" s="2"/>
      <c r="J92" s="2"/>
      <c r="K92" s="2"/>
    </row>
    <row r="93" spans="1:11" x14ac:dyDescent="0.3">
      <c r="A93" s="2"/>
      <c r="B93" s="2"/>
      <c r="C93" s="2"/>
      <c r="D93" s="2"/>
      <c r="E93" s="2"/>
      <c r="F93" s="2"/>
      <c r="G93" s="2"/>
      <c r="H93" s="2"/>
      <c r="I93" s="2"/>
      <c r="J93" s="2"/>
      <c r="K93" s="2"/>
    </row>
    <row r="94" spans="1:11" x14ac:dyDescent="0.3">
      <c r="A94" s="4" t="s">
        <v>373</v>
      </c>
      <c r="B94" s="2"/>
      <c r="C94" s="2"/>
      <c r="D94" s="2"/>
      <c r="E94" s="2"/>
      <c r="F94" s="2"/>
      <c r="G94" s="2"/>
      <c r="H94" s="2"/>
      <c r="I94" s="2"/>
      <c r="J94" s="2"/>
      <c r="K94" s="2"/>
    </row>
    <row r="95" spans="1:11" x14ac:dyDescent="0.3">
      <c r="A95" s="2" t="s">
        <v>485</v>
      </c>
      <c r="B95" s="2">
        <v>54.99</v>
      </c>
      <c r="C95" s="2"/>
      <c r="D95" s="2"/>
      <c r="E95" s="2"/>
      <c r="F95" s="2"/>
      <c r="G95" s="2"/>
      <c r="H95" s="2"/>
      <c r="I95" s="2"/>
      <c r="J95" s="2"/>
      <c r="K95" s="2"/>
    </row>
    <row r="96" spans="1:11" x14ac:dyDescent="0.3">
      <c r="A96" s="2" t="s">
        <v>484</v>
      </c>
      <c r="B96" s="2">
        <v>64.989999999999995</v>
      </c>
      <c r="C96" s="2"/>
      <c r="D96" s="2"/>
      <c r="E96" s="2"/>
      <c r="F96" s="2"/>
      <c r="G96" s="2"/>
      <c r="H96" s="2"/>
      <c r="I96" s="2"/>
      <c r="J96" s="2"/>
      <c r="K96" s="2"/>
    </row>
    <row r="97" spans="1:11" x14ac:dyDescent="0.3">
      <c r="A97" s="2" t="s">
        <v>487</v>
      </c>
      <c r="B97" s="2">
        <v>320.52</v>
      </c>
      <c r="C97" s="2"/>
      <c r="D97" s="2"/>
      <c r="E97" s="2"/>
      <c r="F97" s="2"/>
      <c r="G97" s="2"/>
      <c r="H97" s="2"/>
      <c r="I97" s="2"/>
      <c r="J97" s="2"/>
      <c r="K97" s="2"/>
    </row>
    <row r="98" spans="1:11" x14ac:dyDescent="0.3">
      <c r="A98" s="2" t="s">
        <v>486</v>
      </c>
      <c r="B98" s="2">
        <v>455</v>
      </c>
      <c r="C98" s="2"/>
      <c r="D98" s="2"/>
      <c r="E98" s="2"/>
      <c r="F98" s="2"/>
      <c r="G98" s="2"/>
      <c r="H98" s="2"/>
      <c r="I98" s="2"/>
      <c r="J98" s="2"/>
      <c r="K98" s="2"/>
    </row>
    <row r="99" spans="1:11" x14ac:dyDescent="0.3">
      <c r="A99" s="2" t="s">
        <v>300</v>
      </c>
      <c r="B99" s="2">
        <v>1.52</v>
      </c>
      <c r="C99" s="2"/>
      <c r="D99" s="2"/>
      <c r="E99" s="2"/>
      <c r="F99" s="2"/>
      <c r="G99" s="2"/>
      <c r="H99" s="2"/>
      <c r="I99" s="2"/>
      <c r="J99" s="2"/>
      <c r="K99" s="2"/>
    </row>
    <row r="100" spans="1:11" x14ac:dyDescent="0.3">
      <c r="A100" s="2" t="s">
        <v>333</v>
      </c>
      <c r="B100" s="2">
        <v>3.67</v>
      </c>
      <c r="C100" s="2"/>
      <c r="D100" s="2"/>
      <c r="E100" s="2"/>
      <c r="F100" s="2"/>
      <c r="G100" s="2"/>
      <c r="H100" s="2"/>
      <c r="I100" s="2"/>
      <c r="J100" s="2"/>
      <c r="K100" s="2"/>
    </row>
    <row r="101" spans="1:11" x14ac:dyDescent="0.3">
      <c r="A101" s="2" t="s">
        <v>301</v>
      </c>
      <c r="B101" s="2">
        <v>13.69</v>
      </c>
      <c r="C101" s="2"/>
      <c r="D101" s="2"/>
      <c r="E101" s="2"/>
      <c r="F101" s="2"/>
      <c r="G101" s="2"/>
      <c r="H101" s="2"/>
      <c r="I101" s="2"/>
      <c r="J101" s="2"/>
      <c r="K101" s="2"/>
    </row>
    <row r="102" spans="1:11" x14ac:dyDescent="0.3">
      <c r="A102" s="2" t="s">
        <v>304</v>
      </c>
      <c r="B102" s="2">
        <v>3.66</v>
      </c>
      <c r="C102" s="2"/>
      <c r="D102" s="2"/>
      <c r="E102" s="2"/>
      <c r="F102" s="2"/>
      <c r="G102" s="2"/>
      <c r="H102" s="2"/>
      <c r="I102" s="2"/>
      <c r="J102" s="2"/>
      <c r="K102" s="2"/>
    </row>
    <row r="103" spans="1:11" x14ac:dyDescent="0.3">
      <c r="A103" s="2" t="s">
        <v>308</v>
      </c>
      <c r="B103" s="2">
        <v>6.36</v>
      </c>
      <c r="C103" s="2"/>
      <c r="D103" s="2"/>
      <c r="E103" s="2"/>
      <c r="F103" s="2"/>
      <c r="G103" s="2"/>
      <c r="H103" s="2"/>
      <c r="I103" s="2"/>
      <c r="J103" s="2"/>
      <c r="K103" s="2"/>
    </row>
    <row r="104" spans="1:11" x14ac:dyDescent="0.3">
      <c r="A104" s="2" t="s">
        <v>309</v>
      </c>
      <c r="B104" s="2">
        <v>29.94</v>
      </c>
      <c r="C104" s="2"/>
      <c r="D104" s="2"/>
      <c r="E104" s="2"/>
      <c r="F104" s="2"/>
      <c r="G104" s="2"/>
      <c r="H104" s="2"/>
      <c r="I104" s="2"/>
      <c r="J104" s="2"/>
      <c r="K104" s="2"/>
    </row>
    <row r="105" spans="1:11" x14ac:dyDescent="0.3">
      <c r="A105" s="2" t="s">
        <v>310</v>
      </c>
      <c r="B105" s="2">
        <v>10.35</v>
      </c>
      <c r="C105" s="2"/>
      <c r="D105" s="2"/>
      <c r="E105" s="2"/>
      <c r="F105" s="2"/>
      <c r="G105" s="2"/>
      <c r="H105" s="2"/>
      <c r="I105" s="2"/>
      <c r="J105" s="2"/>
      <c r="K105" s="2"/>
    </row>
    <row r="106" spans="1:11" x14ac:dyDescent="0.3">
      <c r="A106" s="2"/>
      <c r="B106" s="2"/>
      <c r="C106" s="2"/>
      <c r="D106" s="2"/>
      <c r="E106" s="2"/>
      <c r="F106" s="2"/>
      <c r="G106" s="2"/>
      <c r="H106" s="2"/>
      <c r="I106" s="2"/>
      <c r="J106" s="2"/>
      <c r="K106" s="2"/>
    </row>
    <row r="107" spans="1:11" x14ac:dyDescent="0.3">
      <c r="A107" s="4" t="s">
        <v>375</v>
      </c>
      <c r="B107" s="2"/>
      <c r="C107" s="2"/>
      <c r="D107" s="2"/>
      <c r="E107" s="2"/>
      <c r="F107" s="2"/>
      <c r="G107" s="2"/>
      <c r="H107" s="2"/>
      <c r="I107" s="2"/>
      <c r="J107" s="2"/>
      <c r="K107" s="2"/>
    </row>
    <row r="108" spans="1:11" x14ac:dyDescent="0.3">
      <c r="A108" s="2" t="s">
        <v>311</v>
      </c>
      <c r="B108" s="2">
        <v>27.43</v>
      </c>
      <c r="C108" s="2"/>
      <c r="D108" s="2"/>
      <c r="E108" s="2"/>
      <c r="F108" s="2"/>
      <c r="G108" s="2"/>
      <c r="H108" s="2"/>
      <c r="I108" s="2"/>
      <c r="J108" s="2"/>
      <c r="K108" s="2"/>
    </row>
    <row r="109" spans="1:11" x14ac:dyDescent="0.3">
      <c r="A109" s="2" t="s">
        <v>312</v>
      </c>
      <c r="B109" s="2">
        <v>49.12</v>
      </c>
      <c r="C109" s="2"/>
      <c r="D109" s="2"/>
      <c r="E109" s="2"/>
      <c r="F109" s="2"/>
      <c r="G109" s="2"/>
      <c r="H109" s="2"/>
      <c r="I109" s="2"/>
      <c r="J109" s="2"/>
      <c r="K109" s="2"/>
    </row>
    <row r="110" spans="1:11" x14ac:dyDescent="0.3">
      <c r="A110" s="2" t="s">
        <v>528</v>
      </c>
      <c r="B110" s="2">
        <v>23.84</v>
      </c>
      <c r="C110" s="2"/>
      <c r="D110" s="2"/>
      <c r="E110" s="2"/>
      <c r="F110" s="2"/>
      <c r="G110" s="2"/>
      <c r="H110" s="2"/>
      <c r="I110" s="2"/>
      <c r="J110" s="2"/>
      <c r="K110" s="2"/>
    </row>
    <row r="111" spans="1:11" x14ac:dyDescent="0.3">
      <c r="A111" s="2"/>
      <c r="B111" s="2"/>
      <c r="C111" s="2"/>
      <c r="D111" s="2"/>
      <c r="E111" s="2"/>
      <c r="F111" s="2"/>
      <c r="G111" s="2"/>
      <c r="H111" s="2"/>
      <c r="I111" s="2"/>
      <c r="J111" s="2"/>
      <c r="K111" s="2"/>
    </row>
    <row r="112" spans="1:11" x14ac:dyDescent="0.3">
      <c r="A112" s="4" t="s">
        <v>497</v>
      </c>
      <c r="B112" s="2"/>
      <c r="C112" s="49"/>
      <c r="D112" s="49"/>
      <c r="E112" s="2"/>
      <c r="F112" s="2"/>
      <c r="G112" s="2"/>
      <c r="H112" s="2"/>
      <c r="I112" s="2"/>
      <c r="J112" s="2"/>
      <c r="K112" s="2"/>
    </row>
    <row r="113" spans="1:11" x14ac:dyDescent="0.3">
      <c r="A113" s="49" t="s">
        <v>477</v>
      </c>
      <c r="B113" s="49">
        <v>58</v>
      </c>
      <c r="C113" s="49"/>
      <c r="D113" s="49"/>
      <c r="E113" s="2"/>
      <c r="F113" s="2"/>
      <c r="G113" s="2"/>
      <c r="H113" s="2"/>
      <c r="I113" s="2"/>
      <c r="J113" s="2"/>
      <c r="K113" s="2"/>
    </row>
    <row r="114" spans="1:11" x14ac:dyDescent="0.3">
      <c r="A114" s="2" t="s">
        <v>525</v>
      </c>
      <c r="B114" s="2"/>
      <c r="C114" s="2"/>
      <c r="D114" s="2"/>
      <c r="E114" s="2"/>
      <c r="F114" s="2"/>
      <c r="G114" s="2"/>
      <c r="H114" s="2"/>
      <c r="I114" s="2"/>
      <c r="J114" s="2"/>
      <c r="K114" s="2"/>
    </row>
    <row r="115" spans="1:11" x14ac:dyDescent="0.3">
      <c r="A115" s="2"/>
      <c r="B115" s="2"/>
      <c r="C115" s="2"/>
      <c r="D115" s="2"/>
      <c r="E115" s="2"/>
      <c r="F115" s="2"/>
      <c r="G115" s="2"/>
      <c r="H115" s="2"/>
      <c r="I115" s="2"/>
      <c r="J115" s="2"/>
      <c r="K115" s="2"/>
    </row>
    <row r="116" spans="1:11" x14ac:dyDescent="0.3">
      <c r="A116" s="4" t="s">
        <v>378</v>
      </c>
      <c r="B116" s="2"/>
      <c r="C116" s="2"/>
      <c r="D116" s="2"/>
      <c r="E116" s="2"/>
      <c r="F116" s="2"/>
      <c r="G116" s="2"/>
      <c r="H116" s="2"/>
      <c r="I116" s="2"/>
      <c r="J116" s="2"/>
      <c r="K116" s="2"/>
    </row>
    <row r="117" spans="1:11" x14ac:dyDescent="0.3">
      <c r="A117" s="2" t="s">
        <v>321</v>
      </c>
      <c r="B117" s="2">
        <v>26.45</v>
      </c>
      <c r="C117" s="2"/>
      <c r="D117" s="2"/>
      <c r="E117" s="2"/>
      <c r="F117" s="2"/>
      <c r="G117" s="2"/>
      <c r="H117" s="2"/>
      <c r="I117" s="2"/>
      <c r="J117" s="2"/>
      <c r="K117" s="2"/>
    </row>
    <row r="118" spans="1:11" x14ac:dyDescent="0.3">
      <c r="A118" s="2" t="s">
        <v>322</v>
      </c>
      <c r="B118" s="2">
        <v>41.82</v>
      </c>
      <c r="C118" s="2"/>
      <c r="D118" s="2"/>
      <c r="E118" s="2"/>
      <c r="F118" s="2"/>
      <c r="G118" s="2"/>
      <c r="H118" s="2"/>
      <c r="I118" s="2"/>
      <c r="J118" s="2"/>
      <c r="K118" s="2"/>
    </row>
    <row r="119" spans="1:11" x14ac:dyDescent="0.3">
      <c r="A119" s="2"/>
      <c r="B119" s="2"/>
      <c r="C119" s="2"/>
      <c r="D119" s="2"/>
      <c r="E119" s="2"/>
      <c r="F119" s="2"/>
      <c r="G119" s="2"/>
      <c r="H119" s="2"/>
      <c r="I119" s="2"/>
      <c r="J119" s="2"/>
      <c r="K119" s="2"/>
    </row>
    <row r="120" spans="1:11" x14ac:dyDescent="0.3">
      <c r="A120" s="4" t="s">
        <v>359</v>
      </c>
      <c r="B120" s="2" t="s">
        <v>376</v>
      </c>
      <c r="C120" s="2" t="s">
        <v>296</v>
      </c>
      <c r="D120" s="2" t="s">
        <v>377</v>
      </c>
      <c r="E120" s="2"/>
      <c r="F120" s="2"/>
      <c r="G120" s="2"/>
      <c r="H120" s="2"/>
      <c r="I120" s="2"/>
      <c r="J120" s="2"/>
      <c r="K120" s="2"/>
    </row>
    <row r="121" spans="1:11" x14ac:dyDescent="0.3">
      <c r="A121" s="2" t="s">
        <v>335</v>
      </c>
      <c r="B121" s="2">
        <v>27.65</v>
      </c>
      <c r="C121" s="2">
        <f>B121/500</f>
        <v>5.5299999999999995E-2</v>
      </c>
      <c r="D121" s="2">
        <f>C121*50</f>
        <v>2.7649999999999997</v>
      </c>
      <c r="E121" s="2"/>
      <c r="F121" s="2"/>
      <c r="G121" s="2"/>
      <c r="H121" s="2"/>
      <c r="I121" s="2"/>
      <c r="J121" s="2"/>
      <c r="K121" s="2"/>
    </row>
    <row r="122" spans="1:11" x14ac:dyDescent="0.3">
      <c r="A122" s="2" t="s">
        <v>336</v>
      </c>
      <c r="B122" s="2">
        <v>26.21</v>
      </c>
      <c r="C122" s="2">
        <f>B122/200</f>
        <v>0.13105</v>
      </c>
      <c r="D122" s="2">
        <f>C122*50</f>
        <v>6.5525000000000002</v>
      </c>
      <c r="E122" s="2"/>
      <c r="F122" s="2"/>
      <c r="G122" s="2"/>
      <c r="H122" s="2"/>
      <c r="I122" s="2"/>
      <c r="J122" s="2"/>
      <c r="K122" s="2"/>
    </row>
    <row r="123" spans="1:11" x14ac:dyDescent="0.3">
      <c r="A123" s="2" t="s">
        <v>313</v>
      </c>
      <c r="B123" s="2">
        <v>12.18</v>
      </c>
      <c r="C123" s="2"/>
      <c r="D123" s="2"/>
      <c r="E123" s="2"/>
      <c r="F123" s="2"/>
      <c r="G123" s="2"/>
      <c r="H123" s="2"/>
      <c r="I123" s="2"/>
      <c r="J123" s="2"/>
      <c r="K123" s="2"/>
    </row>
    <row r="124" spans="1:11" x14ac:dyDescent="0.3">
      <c r="A124" s="2" t="s">
        <v>536</v>
      </c>
      <c r="B124" s="2"/>
      <c r="C124" s="2"/>
      <c r="D124" s="2"/>
      <c r="E124" s="2"/>
      <c r="F124" s="2"/>
      <c r="G124" s="2"/>
      <c r="H124" s="2"/>
      <c r="I124" s="2"/>
      <c r="J124" s="2"/>
      <c r="K124" s="2"/>
    </row>
    <row r="125" spans="1:11" x14ac:dyDescent="0.3">
      <c r="A125" s="2" t="s">
        <v>545</v>
      </c>
      <c r="B125" s="2">
        <v>5.95</v>
      </c>
      <c r="C125" s="2"/>
      <c r="D125" s="2"/>
      <c r="E125" s="2"/>
      <c r="F125" s="2"/>
      <c r="G125" s="2"/>
      <c r="H125" s="2"/>
      <c r="I125" s="2"/>
      <c r="J125" s="2"/>
      <c r="K125" s="2"/>
    </row>
    <row r="126" spans="1:11" x14ac:dyDescent="0.3">
      <c r="A126" s="2"/>
      <c r="B126" s="2"/>
      <c r="C126" s="2"/>
      <c r="D126" s="2"/>
      <c r="E126" s="2"/>
      <c r="F126" s="2"/>
      <c r="G126" s="2"/>
      <c r="H126" s="2"/>
      <c r="I126" s="2"/>
      <c r="J126" s="2"/>
      <c r="K126" s="2"/>
    </row>
    <row r="127" spans="1:11" x14ac:dyDescent="0.3">
      <c r="A127" s="2"/>
      <c r="B127" s="155" t="s">
        <v>229</v>
      </c>
      <c r="C127" s="157"/>
      <c r="D127" s="155" t="s">
        <v>230</v>
      </c>
      <c r="E127" s="157"/>
      <c r="F127" s="2"/>
      <c r="G127" s="2"/>
      <c r="H127" s="2"/>
      <c r="I127" s="2"/>
      <c r="J127" s="2"/>
      <c r="K127" s="2"/>
    </row>
    <row r="128" spans="1:11" x14ac:dyDescent="0.3">
      <c r="A128" s="4" t="s">
        <v>237</v>
      </c>
      <c r="B128" s="2" t="s">
        <v>298</v>
      </c>
      <c r="C128" s="2" t="s">
        <v>296</v>
      </c>
      <c r="D128" s="2" t="s">
        <v>298</v>
      </c>
      <c r="E128" s="2" t="s">
        <v>296</v>
      </c>
      <c r="F128" s="2"/>
      <c r="G128" s="2"/>
      <c r="H128" s="2"/>
      <c r="I128" s="2"/>
      <c r="J128" s="2"/>
      <c r="K128" s="2"/>
    </row>
    <row r="129" spans="1:11" x14ac:dyDescent="0.3">
      <c r="A129" s="2" t="s">
        <v>238</v>
      </c>
      <c r="B129" s="2">
        <v>43.93</v>
      </c>
      <c r="C129" s="2">
        <f>B129/100</f>
        <v>0.43930000000000002</v>
      </c>
      <c r="D129" s="2">
        <v>30.45</v>
      </c>
      <c r="E129" s="2">
        <f>D129/100</f>
        <v>0.30449999999999999</v>
      </c>
      <c r="F129" s="2"/>
      <c r="G129" s="2"/>
      <c r="H129" s="2"/>
      <c r="I129" s="2"/>
      <c r="J129" s="2"/>
      <c r="K129" s="2"/>
    </row>
    <row r="130" spans="1:11" x14ac:dyDescent="0.3">
      <c r="A130" s="2" t="s">
        <v>239</v>
      </c>
      <c r="B130" s="2">
        <v>75.27</v>
      </c>
      <c r="C130" s="2">
        <f>B130/100</f>
        <v>0.75269999999999992</v>
      </c>
      <c r="D130" s="2">
        <v>60</v>
      </c>
      <c r="E130" s="2">
        <f>D130/100</f>
        <v>0.6</v>
      </c>
      <c r="F130" s="2"/>
      <c r="G130" s="2"/>
      <c r="H130" s="2"/>
      <c r="I130" s="2"/>
      <c r="J130" s="2"/>
      <c r="K130" s="2"/>
    </row>
    <row r="131" spans="1:11" x14ac:dyDescent="0.3">
      <c r="A131" s="2" t="s">
        <v>240</v>
      </c>
      <c r="B131" s="2">
        <v>135.56</v>
      </c>
      <c r="C131" s="2">
        <f>B131/100</f>
        <v>1.3555999999999999</v>
      </c>
      <c r="D131" s="2">
        <v>98.79</v>
      </c>
      <c r="E131" s="2">
        <f>D131/100</f>
        <v>0.98790000000000011</v>
      </c>
      <c r="F131" s="2"/>
      <c r="G131" s="2"/>
      <c r="H131" s="2"/>
      <c r="I131" s="2"/>
      <c r="J131" s="2"/>
      <c r="K131" s="2"/>
    </row>
    <row r="132" spans="1:11" x14ac:dyDescent="0.3">
      <c r="A132" s="2"/>
      <c r="B132" s="2"/>
      <c r="C132" s="2"/>
      <c r="D132" s="2"/>
      <c r="E132" s="2"/>
      <c r="F132" s="2"/>
      <c r="G132" s="2"/>
      <c r="H132" s="2"/>
      <c r="I132" s="2"/>
      <c r="J132" s="2"/>
      <c r="K132" s="2"/>
    </row>
    <row r="133" spans="1:11" x14ac:dyDescent="0.3">
      <c r="A133" s="4" t="s">
        <v>496</v>
      </c>
      <c r="B133" s="2"/>
      <c r="C133" s="2"/>
      <c r="D133" s="2"/>
      <c r="E133" s="2"/>
      <c r="F133" s="2"/>
      <c r="G133" s="2"/>
      <c r="H133" s="2"/>
      <c r="I133" s="2"/>
      <c r="J133" s="2"/>
      <c r="K133" s="2"/>
    </row>
    <row r="134" spans="1:11" x14ac:dyDescent="0.3">
      <c r="A134" s="2" t="s">
        <v>367</v>
      </c>
      <c r="B134" s="2">
        <v>175.7</v>
      </c>
      <c r="C134" s="49"/>
      <c r="D134" s="2"/>
      <c r="E134" s="2"/>
      <c r="F134" s="2"/>
      <c r="G134" s="2"/>
      <c r="H134" s="2"/>
      <c r="I134" s="2"/>
      <c r="J134" s="2"/>
      <c r="K134" s="2"/>
    </row>
    <row r="135" spans="1:11" x14ac:dyDescent="0.3">
      <c r="A135" s="2" t="s">
        <v>368</v>
      </c>
      <c r="B135" s="2">
        <v>187.75</v>
      </c>
      <c r="C135" s="49"/>
      <c r="D135" s="2"/>
      <c r="E135" s="2"/>
      <c r="F135" s="2"/>
      <c r="G135" s="2"/>
      <c r="H135" s="2"/>
      <c r="I135" s="2"/>
      <c r="J135" s="2"/>
      <c r="K135" s="2"/>
    </row>
    <row r="136" spans="1:11" x14ac:dyDescent="0.3">
      <c r="A136" s="2" t="s">
        <v>343</v>
      </c>
      <c r="B136" s="2">
        <v>33.97</v>
      </c>
      <c r="C136" s="49"/>
      <c r="D136" s="2"/>
      <c r="E136" s="2"/>
      <c r="F136" s="2"/>
      <c r="G136" s="2"/>
      <c r="H136" s="2"/>
      <c r="I136" s="2"/>
      <c r="J136" s="2"/>
      <c r="K136" s="2"/>
    </row>
    <row r="137" spans="1:11" x14ac:dyDescent="0.3">
      <c r="A137" s="2" t="s">
        <v>351</v>
      </c>
      <c r="B137" s="2">
        <v>491.62</v>
      </c>
      <c r="C137" s="49"/>
      <c r="D137" s="2"/>
      <c r="E137" s="2"/>
      <c r="F137" s="2"/>
      <c r="G137" s="2"/>
      <c r="H137" s="2"/>
      <c r="I137" s="2"/>
      <c r="J137" s="2"/>
      <c r="K137" s="2"/>
    </row>
    <row r="138" spans="1:11" x14ac:dyDescent="0.3">
      <c r="A138" s="2" t="s">
        <v>352</v>
      </c>
      <c r="B138" s="2">
        <v>683.11</v>
      </c>
      <c r="C138" s="49"/>
      <c r="D138" s="2"/>
      <c r="E138" s="2"/>
      <c r="F138" s="2"/>
      <c r="G138" s="2"/>
      <c r="H138" s="2"/>
      <c r="I138" s="2"/>
      <c r="J138" s="2"/>
      <c r="K138" s="2"/>
    </row>
    <row r="139" spans="1:11" x14ac:dyDescent="0.3">
      <c r="A139" s="2" t="s">
        <v>353</v>
      </c>
      <c r="B139" s="2">
        <v>773.64</v>
      </c>
      <c r="C139" s="49"/>
      <c r="D139" s="49"/>
      <c r="E139" s="2"/>
      <c r="F139" s="2"/>
      <c r="G139" s="2"/>
      <c r="H139" s="2"/>
      <c r="I139" s="2"/>
      <c r="J139" s="2"/>
      <c r="K139" s="2"/>
    </row>
    <row r="140" spans="1:11" x14ac:dyDescent="0.3">
      <c r="A140" s="2" t="s">
        <v>344</v>
      </c>
      <c r="B140" s="2">
        <v>484.9</v>
      </c>
      <c r="C140" s="49"/>
      <c r="D140" s="49"/>
      <c r="E140" s="2"/>
      <c r="F140" s="2"/>
      <c r="G140" s="2"/>
      <c r="H140" s="2"/>
      <c r="I140" s="2"/>
      <c r="J140" s="2"/>
      <c r="K140" s="2"/>
    </row>
    <row r="141" spans="1:11" x14ac:dyDescent="0.3">
      <c r="A141" s="2" t="s">
        <v>345</v>
      </c>
      <c r="B141" s="2">
        <v>592.80999999999995</v>
      </c>
      <c r="C141" s="49"/>
      <c r="D141" s="49"/>
      <c r="E141" s="2"/>
      <c r="F141" s="2"/>
      <c r="G141" s="2"/>
      <c r="H141" s="2"/>
      <c r="I141" s="2"/>
      <c r="J141" s="2"/>
      <c r="K141" s="2"/>
    </row>
    <row r="142" spans="1:11" x14ac:dyDescent="0.3">
      <c r="A142" s="2" t="s">
        <v>544</v>
      </c>
      <c r="B142" s="49"/>
      <c r="C142" s="2"/>
      <c r="D142" s="2"/>
      <c r="E142" s="2"/>
      <c r="F142" s="2"/>
      <c r="G142" s="2"/>
      <c r="H142" s="2"/>
      <c r="I142" s="2"/>
      <c r="J142" s="2"/>
      <c r="K142" s="2"/>
    </row>
    <row r="143" spans="1:11" x14ac:dyDescent="0.3">
      <c r="A143" s="2"/>
      <c r="B143" s="2"/>
      <c r="C143" s="2"/>
      <c r="D143" s="2"/>
      <c r="E143" s="2"/>
      <c r="F143" s="2"/>
      <c r="G143" s="2"/>
      <c r="H143" s="2"/>
      <c r="I143" s="2"/>
      <c r="J143" s="2"/>
      <c r="K143" s="2"/>
    </row>
    <row r="144" spans="1:11" x14ac:dyDescent="0.3">
      <c r="A144" s="2"/>
      <c r="B144" s="155" t="s">
        <v>228</v>
      </c>
      <c r="C144" s="157"/>
      <c r="D144" s="155" t="s">
        <v>214</v>
      </c>
      <c r="E144" s="157"/>
      <c r="F144" s="155" t="s">
        <v>229</v>
      </c>
      <c r="G144" s="157"/>
      <c r="H144" s="155" t="s">
        <v>230</v>
      </c>
      <c r="I144" s="157"/>
      <c r="J144" s="155" t="s">
        <v>557</v>
      </c>
      <c r="K144" s="157"/>
    </row>
    <row r="145" spans="1:11" x14ac:dyDescent="0.3">
      <c r="A145" s="4" t="s">
        <v>227</v>
      </c>
      <c r="B145" s="154" t="s">
        <v>295</v>
      </c>
      <c r="C145" s="154" t="s">
        <v>296</v>
      </c>
      <c r="D145" s="154" t="s">
        <v>295</v>
      </c>
      <c r="E145" s="154" t="s">
        <v>296</v>
      </c>
      <c r="F145" s="154" t="s">
        <v>295</v>
      </c>
      <c r="G145" s="154" t="s">
        <v>296</v>
      </c>
      <c r="H145" s="154" t="s">
        <v>295</v>
      </c>
      <c r="I145" s="154" t="s">
        <v>296</v>
      </c>
      <c r="J145" s="2" t="s">
        <v>295</v>
      </c>
      <c r="K145" s="2" t="s">
        <v>296</v>
      </c>
    </row>
    <row r="146" spans="1:11" x14ac:dyDescent="0.3">
      <c r="A146" s="2" t="s">
        <v>294</v>
      </c>
      <c r="B146" s="2">
        <v>34.61</v>
      </c>
      <c r="C146" s="2">
        <f>B146/20</f>
        <v>1.7304999999999999</v>
      </c>
      <c r="D146" s="2">
        <v>10.73</v>
      </c>
      <c r="E146" s="2">
        <f>D146/20</f>
        <v>0.53649999999999998</v>
      </c>
      <c r="F146" s="2">
        <v>9.01</v>
      </c>
      <c r="G146" s="2">
        <f>F146/20</f>
        <v>0.45050000000000001</v>
      </c>
      <c r="H146" s="2">
        <v>8.1199999999999992</v>
      </c>
      <c r="I146" s="2">
        <f>H146/20</f>
        <v>0.40599999999999997</v>
      </c>
      <c r="J146" s="2"/>
      <c r="K146" s="2"/>
    </row>
    <row r="147" spans="1:11" x14ac:dyDescent="0.3">
      <c r="A147" s="2" t="s">
        <v>223</v>
      </c>
      <c r="B147" s="2">
        <v>59.58</v>
      </c>
      <c r="C147" s="2">
        <f>B147/20</f>
        <v>2.9790000000000001</v>
      </c>
      <c r="D147" s="2">
        <v>9.5299999999999994</v>
      </c>
      <c r="E147" s="2">
        <f>D147/20</f>
        <v>0.47649999999999998</v>
      </c>
      <c r="F147" s="2">
        <v>15.05</v>
      </c>
      <c r="G147" s="2">
        <f>F147/20</f>
        <v>0.75250000000000006</v>
      </c>
      <c r="H147" s="2">
        <v>15.66</v>
      </c>
      <c r="I147" s="2">
        <f>H147/20</f>
        <v>0.78300000000000003</v>
      </c>
      <c r="J147" s="2"/>
      <c r="K147" s="2"/>
    </row>
    <row r="148" spans="1:11" x14ac:dyDescent="0.3">
      <c r="A148" s="2" t="s">
        <v>224</v>
      </c>
      <c r="B148" s="2">
        <v>89.31</v>
      </c>
      <c r="C148" s="2">
        <f>B148/20</f>
        <v>4.4655000000000005</v>
      </c>
      <c r="D148" s="2">
        <v>13.43</v>
      </c>
      <c r="E148" s="2">
        <f>D148/20</f>
        <v>0.67149999999999999</v>
      </c>
      <c r="F148" s="2">
        <v>27.12</v>
      </c>
      <c r="G148" s="2">
        <f>F148/20</f>
        <v>1.3560000000000001</v>
      </c>
      <c r="H148" s="2">
        <v>24.06</v>
      </c>
      <c r="I148" s="2">
        <f>H148/20</f>
        <v>1.2029999999999998</v>
      </c>
      <c r="J148" s="2"/>
      <c r="K148" s="2"/>
    </row>
    <row r="149" spans="1:11" x14ac:dyDescent="0.3">
      <c r="A149" s="2"/>
      <c r="B149" s="2"/>
      <c r="C149" s="2"/>
      <c r="D149" s="2"/>
      <c r="E149" s="2"/>
      <c r="F149" s="2"/>
      <c r="G149" s="2"/>
      <c r="H149" s="2"/>
      <c r="I149" s="2"/>
      <c r="J149" s="2"/>
      <c r="K149" s="2"/>
    </row>
    <row r="150" spans="1:11" x14ac:dyDescent="0.3">
      <c r="A150" s="4" t="s">
        <v>193</v>
      </c>
      <c r="B150" s="2"/>
      <c r="C150" s="2"/>
      <c r="D150" s="2"/>
      <c r="E150" s="2"/>
      <c r="F150" s="2"/>
      <c r="G150" s="2"/>
      <c r="H150" s="2"/>
      <c r="I150" s="2"/>
      <c r="J150" s="2"/>
      <c r="K150" s="2"/>
    </row>
    <row r="151" spans="1:11" x14ac:dyDescent="0.3">
      <c r="A151" s="2" t="s">
        <v>194</v>
      </c>
      <c r="B151" s="2">
        <v>5.39</v>
      </c>
      <c r="C151" s="2"/>
      <c r="D151" s="2"/>
      <c r="E151" s="2"/>
      <c r="F151" s="2"/>
      <c r="G151" s="2"/>
      <c r="H151" s="2"/>
      <c r="I151" s="2"/>
      <c r="J151" s="2"/>
      <c r="K151" s="2"/>
    </row>
    <row r="152" spans="1:11" x14ac:dyDescent="0.3">
      <c r="A152" s="2" t="s">
        <v>195</v>
      </c>
      <c r="B152" s="2">
        <v>6.51</v>
      </c>
      <c r="C152" s="2"/>
      <c r="D152" s="2"/>
      <c r="E152" s="2"/>
      <c r="F152" s="2"/>
      <c r="G152" s="2"/>
      <c r="H152" s="2"/>
      <c r="I152" s="2"/>
      <c r="J152" s="2"/>
      <c r="K152" s="2"/>
    </row>
    <row r="153" spans="1:11" x14ac:dyDescent="0.3">
      <c r="A153" s="2" t="s">
        <v>196</v>
      </c>
      <c r="B153" s="50">
        <v>11.11</v>
      </c>
      <c r="C153" s="2"/>
      <c r="D153" s="2"/>
      <c r="E153" s="2"/>
      <c r="F153" s="2"/>
      <c r="G153" s="2"/>
      <c r="H153" s="2"/>
      <c r="I153" s="2"/>
      <c r="J153" s="2"/>
      <c r="K153" s="2"/>
    </row>
    <row r="154" spans="1:11" x14ac:dyDescent="0.3">
      <c r="A154" s="2" t="s">
        <v>197</v>
      </c>
      <c r="B154" s="50">
        <v>18.82</v>
      </c>
      <c r="C154" s="2"/>
      <c r="D154" s="2"/>
      <c r="E154" s="2"/>
      <c r="F154" s="2"/>
      <c r="G154" s="2"/>
      <c r="H154" s="2"/>
      <c r="I154" s="2"/>
      <c r="J154" s="2"/>
      <c r="K154" s="2"/>
    </row>
    <row r="155" spans="1:11" x14ac:dyDescent="0.3">
      <c r="A155" s="2" t="s">
        <v>198</v>
      </c>
      <c r="B155" s="50">
        <v>20.75</v>
      </c>
      <c r="C155" s="2"/>
      <c r="D155" s="2"/>
      <c r="E155" s="2"/>
      <c r="F155" s="2"/>
      <c r="G155" s="2"/>
      <c r="H155" s="2"/>
      <c r="I155" s="2"/>
      <c r="J155" s="2"/>
      <c r="K155" s="2"/>
    </row>
    <row r="156" spans="1:11" x14ac:dyDescent="0.3">
      <c r="A156" s="2" t="s">
        <v>199</v>
      </c>
      <c r="B156" s="50"/>
      <c r="C156" s="2"/>
      <c r="D156" s="2"/>
      <c r="E156" s="2"/>
      <c r="F156" s="2"/>
      <c r="G156" s="2"/>
      <c r="H156" s="2"/>
      <c r="I156" s="2"/>
      <c r="J156" s="2"/>
      <c r="K156" s="2"/>
    </row>
    <row r="157" spans="1:11" x14ac:dyDescent="0.3">
      <c r="A157" s="2" t="s">
        <v>200</v>
      </c>
      <c r="B157" s="50"/>
      <c r="C157" s="2"/>
      <c r="D157" s="2"/>
      <c r="E157" s="2"/>
      <c r="F157" s="2"/>
      <c r="G157" s="2"/>
      <c r="H157" s="2"/>
      <c r="I157" s="2"/>
      <c r="J157" s="2"/>
      <c r="K157" s="2"/>
    </row>
    <row r="158" spans="1:11" x14ac:dyDescent="0.3">
      <c r="A158" s="2" t="s">
        <v>169</v>
      </c>
      <c r="B158" s="50">
        <v>3.76</v>
      </c>
      <c r="C158" s="2"/>
      <c r="D158" s="2"/>
      <c r="E158" s="2"/>
      <c r="F158" s="2"/>
      <c r="G158" s="2"/>
      <c r="H158" s="2"/>
      <c r="I158" s="2"/>
      <c r="J158" s="2"/>
      <c r="K158" s="2"/>
    </row>
    <row r="159" spans="1:11" x14ac:dyDescent="0.3">
      <c r="A159" s="2"/>
      <c r="B159" s="2"/>
      <c r="C159" s="2"/>
      <c r="D159" s="2"/>
      <c r="E159" s="2"/>
      <c r="F159" s="2"/>
      <c r="G159" s="2"/>
      <c r="H159" s="2"/>
      <c r="I159" s="2"/>
      <c r="J159" s="2"/>
      <c r="K159" s="2"/>
    </row>
    <row r="160" spans="1:11" s="81" customFormat="1" x14ac:dyDescent="0.3">
      <c r="A160" s="127" t="s">
        <v>494</v>
      </c>
      <c r="B160" s="49" t="s">
        <v>291</v>
      </c>
      <c r="C160" s="49"/>
      <c r="D160" s="49"/>
      <c r="E160" s="49"/>
      <c r="F160" s="49"/>
      <c r="G160" s="49"/>
      <c r="H160" s="49"/>
      <c r="I160" s="49"/>
      <c r="J160" s="49"/>
      <c r="K160" s="49"/>
    </row>
    <row r="161" spans="1:11" x14ac:dyDescent="0.3">
      <c r="A161" s="2" t="s">
        <v>182</v>
      </c>
      <c r="B161" s="2">
        <v>425.89</v>
      </c>
      <c r="C161" s="2"/>
      <c r="D161" s="2"/>
      <c r="E161" s="2"/>
      <c r="F161" s="2"/>
      <c r="G161" s="2"/>
      <c r="H161" s="2"/>
      <c r="I161" s="2"/>
      <c r="J161" s="2"/>
      <c r="K161" s="2"/>
    </row>
    <row r="162" spans="1:11" x14ac:dyDescent="0.3">
      <c r="A162" s="2" t="s">
        <v>183</v>
      </c>
      <c r="B162" s="2">
        <v>465.33</v>
      </c>
      <c r="C162" s="2"/>
      <c r="D162" s="2"/>
      <c r="E162" s="2"/>
      <c r="F162" s="2"/>
      <c r="G162" s="2"/>
      <c r="H162" s="2"/>
      <c r="I162" s="2"/>
      <c r="J162" s="2"/>
      <c r="K162" s="2"/>
    </row>
    <row r="163" spans="1:11" x14ac:dyDescent="0.3">
      <c r="A163" s="2" t="s">
        <v>184</v>
      </c>
      <c r="B163" s="2">
        <v>967.23</v>
      </c>
      <c r="C163" s="2"/>
      <c r="D163" s="2"/>
      <c r="E163" s="2"/>
      <c r="F163" s="2"/>
      <c r="G163" s="2"/>
      <c r="H163" s="2"/>
      <c r="I163" s="2"/>
      <c r="J163" s="2"/>
      <c r="K163" s="2"/>
    </row>
    <row r="164" spans="1:11" x14ac:dyDescent="0.3">
      <c r="A164" s="2" t="s">
        <v>185</v>
      </c>
      <c r="B164" s="2">
        <v>1100.1400000000001</v>
      </c>
      <c r="C164" s="2"/>
      <c r="D164" s="2"/>
      <c r="E164" s="2"/>
      <c r="F164" s="2"/>
      <c r="G164" s="2"/>
      <c r="H164" s="2"/>
      <c r="I164" s="2"/>
      <c r="J164" s="2"/>
      <c r="K164" s="2"/>
    </row>
    <row r="165" spans="1:11" x14ac:dyDescent="0.3">
      <c r="A165" s="2" t="s">
        <v>186</v>
      </c>
      <c r="B165" s="2">
        <v>1200.1500000000001</v>
      </c>
      <c r="C165" s="2"/>
      <c r="D165" s="2"/>
      <c r="E165" s="2"/>
      <c r="F165" s="2"/>
      <c r="G165" s="2"/>
      <c r="H165" s="2"/>
      <c r="I165" s="2"/>
      <c r="J165" s="2"/>
      <c r="K165" s="2"/>
    </row>
    <row r="166" spans="1:11" x14ac:dyDescent="0.3">
      <c r="A166" s="2" t="s">
        <v>187</v>
      </c>
      <c r="B166" s="2">
        <v>1695.79</v>
      </c>
      <c r="C166" s="2"/>
      <c r="D166" s="2"/>
      <c r="E166" s="2"/>
      <c r="F166" s="2"/>
      <c r="G166" s="2"/>
      <c r="H166" s="2"/>
      <c r="I166" s="2"/>
      <c r="J166" s="2"/>
      <c r="K166" s="2"/>
    </row>
    <row r="167" spans="1:11" x14ac:dyDescent="0.3">
      <c r="A167" s="2" t="s">
        <v>188</v>
      </c>
      <c r="B167" s="2">
        <v>17.95</v>
      </c>
      <c r="C167" s="2"/>
      <c r="D167" s="2"/>
      <c r="E167" s="2"/>
      <c r="F167" s="2"/>
      <c r="G167" s="2"/>
      <c r="H167" s="2"/>
      <c r="I167" s="2"/>
      <c r="J167" s="2"/>
      <c r="K167" s="2"/>
    </row>
    <row r="168" spans="1:11" x14ac:dyDescent="0.3">
      <c r="A168" s="2" t="s">
        <v>338</v>
      </c>
      <c r="B168" s="2">
        <v>199.97</v>
      </c>
      <c r="C168" s="2"/>
      <c r="D168" s="2"/>
      <c r="E168" s="2"/>
      <c r="F168" s="2"/>
      <c r="G168" s="2"/>
      <c r="H168" s="2"/>
      <c r="I168" s="2"/>
      <c r="J168" s="2"/>
      <c r="K168" s="2"/>
    </row>
    <row r="169" spans="1:11" x14ac:dyDescent="0.3">
      <c r="A169" s="2" t="s">
        <v>337</v>
      </c>
      <c r="B169" s="2">
        <v>199.97</v>
      </c>
      <c r="C169" s="2"/>
      <c r="D169" s="2"/>
      <c r="E169" s="2"/>
      <c r="F169" s="2"/>
      <c r="G169" s="2"/>
      <c r="H169" s="2"/>
      <c r="I169" s="2"/>
      <c r="J169" s="2"/>
      <c r="K169" s="2"/>
    </row>
    <row r="170" spans="1:11" x14ac:dyDescent="0.3">
      <c r="A170" s="2" t="s">
        <v>316</v>
      </c>
      <c r="B170" s="2">
        <v>5.07</v>
      </c>
      <c r="C170" s="2"/>
      <c r="D170" s="2"/>
      <c r="E170" s="2"/>
      <c r="F170" s="2"/>
      <c r="G170" s="2"/>
      <c r="H170" s="2"/>
      <c r="I170" s="2"/>
      <c r="J170" s="2"/>
      <c r="K170" s="2"/>
    </row>
    <row r="171" spans="1:11" x14ac:dyDescent="0.3">
      <c r="A171" s="2" t="s">
        <v>317</v>
      </c>
      <c r="B171" s="2">
        <v>153.77000000000001</v>
      </c>
      <c r="C171" s="2"/>
      <c r="D171" s="2"/>
      <c r="E171" s="2"/>
      <c r="F171" s="2"/>
      <c r="G171" s="2"/>
      <c r="H171" s="2"/>
      <c r="I171" s="2"/>
      <c r="J171" s="2"/>
      <c r="K171" s="2"/>
    </row>
    <row r="172" spans="1:11" x14ac:dyDescent="0.3">
      <c r="A172" s="2" t="s">
        <v>173</v>
      </c>
      <c r="B172" s="2">
        <v>100</v>
      </c>
      <c r="C172" s="2"/>
      <c r="D172" s="2"/>
      <c r="E172" s="2"/>
      <c r="F172" s="2"/>
      <c r="G172" s="2"/>
      <c r="H172" s="2"/>
      <c r="I172" s="2"/>
      <c r="J172" s="2"/>
      <c r="K172" s="2"/>
    </row>
    <row r="173" spans="1:11" x14ac:dyDescent="0.3">
      <c r="A173" s="2" t="s">
        <v>473</v>
      </c>
      <c r="B173" s="2">
        <v>100</v>
      </c>
      <c r="C173" s="2"/>
      <c r="D173" s="2"/>
      <c r="E173" s="2"/>
      <c r="F173" s="2"/>
      <c r="G173" s="2"/>
      <c r="H173" s="2"/>
      <c r="I173" s="2"/>
      <c r="J173" s="2"/>
      <c r="K173" s="2"/>
    </row>
    <row r="174" spans="1:11" x14ac:dyDescent="0.3">
      <c r="A174" s="2" t="s">
        <v>387</v>
      </c>
      <c r="B174" s="2">
        <v>146.94999999999999</v>
      </c>
      <c r="C174" s="2"/>
      <c r="D174" s="2"/>
      <c r="E174" s="2"/>
      <c r="F174" s="2"/>
      <c r="G174" s="2"/>
      <c r="H174" s="2"/>
      <c r="I174" s="2"/>
      <c r="J174" s="2"/>
      <c r="K174" s="2"/>
    </row>
    <row r="175" spans="1:11" x14ac:dyDescent="0.3">
      <c r="A175" s="49" t="s">
        <v>470</v>
      </c>
      <c r="B175" s="49">
        <v>11.12</v>
      </c>
      <c r="C175" s="2"/>
      <c r="D175" s="2"/>
      <c r="E175" s="2"/>
      <c r="F175" s="2"/>
      <c r="G175" s="2"/>
      <c r="H175" s="2"/>
      <c r="I175" s="2"/>
      <c r="J175" s="2"/>
      <c r="K175" s="2"/>
    </row>
    <row r="176" spans="1:11" x14ac:dyDescent="0.3">
      <c r="A176" s="49" t="s">
        <v>471</v>
      </c>
      <c r="B176" s="49">
        <v>5</v>
      </c>
      <c r="C176" s="2"/>
      <c r="D176" s="2"/>
      <c r="E176" s="2"/>
      <c r="F176" s="2"/>
      <c r="G176" s="2"/>
      <c r="H176" s="2"/>
      <c r="I176" s="2"/>
      <c r="J176" s="2"/>
      <c r="K176" s="2"/>
    </row>
    <row r="177" spans="1:11" x14ac:dyDescent="0.3">
      <c r="A177" s="49" t="s">
        <v>527</v>
      </c>
      <c r="B177" s="49">
        <v>276.87</v>
      </c>
      <c r="C177" s="2"/>
      <c r="D177" s="2"/>
      <c r="E177" s="2"/>
      <c r="F177" s="2"/>
      <c r="G177" s="2"/>
      <c r="H177" s="2"/>
      <c r="I177" s="2"/>
      <c r="J177" s="2"/>
      <c r="K177" s="2"/>
    </row>
    <row r="178" spans="1:11" x14ac:dyDescent="0.3">
      <c r="A178" s="49"/>
      <c r="B178" s="49"/>
      <c r="C178" s="2"/>
      <c r="D178" s="2"/>
      <c r="E178" s="2"/>
      <c r="F178" s="2"/>
      <c r="G178" s="2"/>
      <c r="H178" s="2"/>
      <c r="I178" s="2"/>
      <c r="J178" s="2"/>
      <c r="K178" s="2"/>
    </row>
    <row r="179" spans="1:11" x14ac:dyDescent="0.3">
      <c r="A179" s="4" t="s">
        <v>495</v>
      </c>
      <c r="B179" s="49"/>
      <c r="C179" s="2"/>
      <c r="D179" s="2"/>
      <c r="E179" s="2"/>
      <c r="F179" s="2"/>
      <c r="G179" s="2"/>
      <c r="H179" s="2"/>
      <c r="I179" s="2"/>
      <c r="J179" s="2"/>
      <c r="K179" s="2"/>
    </row>
    <row r="180" spans="1:11" x14ac:dyDescent="0.3">
      <c r="A180" s="2" t="s">
        <v>347</v>
      </c>
      <c r="B180" s="49">
        <v>933.49</v>
      </c>
      <c r="C180" s="2"/>
      <c r="D180" s="2"/>
      <c r="E180" s="2"/>
      <c r="F180" s="2"/>
      <c r="G180" s="2"/>
      <c r="H180" s="2"/>
      <c r="I180" s="2"/>
      <c r="J180" s="2"/>
      <c r="K180" s="2"/>
    </row>
    <row r="181" spans="1:11" x14ac:dyDescent="0.3">
      <c r="A181" s="2" t="s">
        <v>348</v>
      </c>
      <c r="B181" s="49">
        <v>1050.2</v>
      </c>
      <c r="C181" s="2"/>
      <c r="D181" s="2"/>
      <c r="E181" s="2"/>
      <c r="F181" s="2"/>
      <c r="G181" s="2"/>
      <c r="H181" s="2"/>
      <c r="I181" s="2"/>
      <c r="J181" s="2"/>
      <c r="K181" s="2"/>
    </row>
    <row r="182" spans="1:11" x14ac:dyDescent="0.3">
      <c r="A182" s="2" t="s">
        <v>349</v>
      </c>
      <c r="B182" s="49">
        <v>1194.47</v>
      </c>
      <c r="C182" s="2"/>
      <c r="D182" s="2"/>
      <c r="E182" s="2"/>
      <c r="F182" s="2"/>
      <c r="G182" s="2"/>
      <c r="H182" s="2"/>
      <c r="I182" s="2"/>
      <c r="J182" s="2"/>
      <c r="K182" s="2"/>
    </row>
    <row r="183" spans="1:11" x14ac:dyDescent="0.3">
      <c r="A183" s="2" t="s">
        <v>350</v>
      </c>
      <c r="B183" s="49">
        <v>1309.8</v>
      </c>
      <c r="C183" s="2"/>
      <c r="D183" s="2"/>
      <c r="E183" s="2"/>
      <c r="F183" s="2"/>
      <c r="G183" s="2"/>
      <c r="H183" s="2"/>
      <c r="I183" s="2"/>
      <c r="J183" s="2"/>
      <c r="K183" s="2"/>
    </row>
    <row r="184" spans="1:11" x14ac:dyDescent="0.3">
      <c r="A184" s="2" t="s">
        <v>346</v>
      </c>
      <c r="B184" s="2">
        <v>36.700000000000003</v>
      </c>
      <c r="C184" s="2"/>
      <c r="D184" s="2"/>
      <c r="E184" s="2"/>
      <c r="F184" s="2"/>
      <c r="G184" s="2"/>
      <c r="H184" s="2"/>
      <c r="I184" s="2"/>
      <c r="J184" s="2"/>
      <c r="K184" s="2"/>
    </row>
    <row r="185" spans="1:11" x14ac:dyDescent="0.3">
      <c r="A185" s="2"/>
      <c r="B185" s="2"/>
      <c r="C185" s="2"/>
      <c r="D185" s="2"/>
      <c r="E185" s="2"/>
      <c r="F185" s="2"/>
      <c r="G185" s="2"/>
      <c r="H185" s="2"/>
      <c r="I185" s="2"/>
      <c r="J185" s="2"/>
      <c r="K185" s="2"/>
    </row>
    <row r="186" spans="1:11" x14ac:dyDescent="0.3">
      <c r="A186" s="4" t="s">
        <v>13</v>
      </c>
      <c r="B186" s="2"/>
      <c r="C186" s="2"/>
      <c r="D186" s="2"/>
      <c r="E186" s="2"/>
      <c r="F186" s="2"/>
      <c r="G186" s="2"/>
      <c r="H186" s="2"/>
      <c r="I186" s="2"/>
      <c r="J186" s="2"/>
      <c r="K186" s="2"/>
    </row>
    <row r="187" spans="1:11" x14ac:dyDescent="0.3">
      <c r="A187" s="2" t="s">
        <v>201</v>
      </c>
      <c r="B187" s="2">
        <v>9.31</v>
      </c>
      <c r="C187" s="2"/>
      <c r="D187" s="2"/>
      <c r="E187" s="2"/>
      <c r="F187" s="2"/>
      <c r="G187" s="2"/>
      <c r="H187" s="2"/>
      <c r="I187" s="2"/>
      <c r="J187" s="2"/>
      <c r="K187" s="2"/>
    </row>
    <row r="188" spans="1:11" x14ac:dyDescent="0.3">
      <c r="A188" s="2" t="s">
        <v>202</v>
      </c>
      <c r="B188" s="2">
        <v>13.29</v>
      </c>
      <c r="C188" s="2"/>
      <c r="D188" s="2"/>
      <c r="E188" s="2"/>
      <c r="F188" s="2"/>
      <c r="G188" s="2"/>
      <c r="H188" s="2"/>
      <c r="I188" s="2"/>
      <c r="J188" s="2"/>
      <c r="K188" s="2"/>
    </row>
    <row r="189" spans="1:11" x14ac:dyDescent="0.3">
      <c r="A189" s="2" t="s">
        <v>203</v>
      </c>
      <c r="B189" s="2">
        <v>13.49</v>
      </c>
      <c r="C189" s="2"/>
      <c r="D189" s="2"/>
      <c r="E189" s="2"/>
      <c r="F189" s="2"/>
      <c r="G189" s="2"/>
      <c r="H189" s="2"/>
      <c r="I189" s="2"/>
      <c r="J189" s="2"/>
      <c r="K189" s="2"/>
    </row>
    <row r="190" spans="1:11" x14ac:dyDescent="0.3">
      <c r="A190" s="2" t="s">
        <v>204</v>
      </c>
      <c r="B190" s="2">
        <v>25.2</v>
      </c>
      <c r="C190" s="2"/>
      <c r="D190" s="2"/>
      <c r="E190" s="2"/>
      <c r="F190" s="2"/>
      <c r="G190" s="2"/>
      <c r="H190" s="2"/>
      <c r="I190" s="2"/>
      <c r="J190" s="2"/>
      <c r="K190" s="2"/>
    </row>
    <row r="191" spans="1:11" x14ac:dyDescent="0.3">
      <c r="A191" s="2" t="s">
        <v>205</v>
      </c>
      <c r="B191" s="2">
        <v>4.79</v>
      </c>
      <c r="C191" s="2"/>
      <c r="D191" s="2"/>
      <c r="E191" s="2"/>
      <c r="F191" s="2"/>
      <c r="G191" s="2"/>
      <c r="H191" s="2"/>
      <c r="I191" s="2"/>
      <c r="J191" s="2"/>
      <c r="K191" s="2"/>
    </row>
    <row r="192" spans="1:11" x14ac:dyDescent="0.3">
      <c r="A192" s="2" t="s">
        <v>206</v>
      </c>
      <c r="B192" s="2">
        <v>25.92</v>
      </c>
      <c r="C192" s="2"/>
      <c r="D192" s="2"/>
      <c r="E192" s="2"/>
      <c r="F192" s="2"/>
      <c r="G192" s="2"/>
      <c r="H192" s="2"/>
      <c r="I192" s="2"/>
      <c r="J192" s="2"/>
      <c r="K192" s="2"/>
    </row>
    <row r="193" spans="1:11" x14ac:dyDescent="0.3">
      <c r="A193" s="2" t="s">
        <v>86</v>
      </c>
      <c r="B193" s="2">
        <v>76.69</v>
      </c>
      <c r="C193" s="2"/>
      <c r="D193" s="2"/>
      <c r="E193" s="2"/>
      <c r="F193" s="2"/>
      <c r="G193" s="2"/>
      <c r="H193" s="2"/>
      <c r="I193" s="2"/>
      <c r="J193" s="2"/>
      <c r="K193" s="2"/>
    </row>
    <row r="194" spans="1:11" x14ac:dyDescent="0.3">
      <c r="A194" s="2" t="s">
        <v>207</v>
      </c>
      <c r="B194" s="2">
        <v>72.400000000000006</v>
      </c>
      <c r="C194" s="2"/>
      <c r="D194" s="2"/>
      <c r="E194" s="2"/>
      <c r="F194" s="2"/>
      <c r="G194" s="2"/>
      <c r="H194" s="2"/>
      <c r="I194" s="2"/>
      <c r="J194" s="2"/>
      <c r="K194" s="2"/>
    </row>
    <row r="195" spans="1:11" x14ac:dyDescent="0.3">
      <c r="A195" s="2" t="s">
        <v>87</v>
      </c>
      <c r="B195" s="2">
        <v>85.85</v>
      </c>
      <c r="C195" s="2"/>
      <c r="D195" s="2"/>
      <c r="E195" s="2"/>
      <c r="F195" s="2"/>
      <c r="G195" s="2"/>
      <c r="H195" s="2"/>
      <c r="I195" s="2"/>
      <c r="J195" s="2"/>
      <c r="K195" s="2"/>
    </row>
    <row r="196" spans="1:11" x14ac:dyDescent="0.3">
      <c r="A196" s="2" t="s">
        <v>84</v>
      </c>
      <c r="B196" s="2">
        <v>74.38</v>
      </c>
      <c r="C196" s="2"/>
      <c r="D196" s="2"/>
      <c r="E196" s="2"/>
      <c r="F196" s="2"/>
      <c r="G196" s="2"/>
      <c r="H196" s="2"/>
      <c r="I196" s="2"/>
      <c r="J196" s="2"/>
      <c r="K196" s="2"/>
    </row>
    <row r="197" spans="1:11" x14ac:dyDescent="0.3">
      <c r="A197" s="2" t="s">
        <v>208</v>
      </c>
      <c r="B197" s="50"/>
      <c r="C197" s="2"/>
      <c r="D197" s="2"/>
      <c r="E197" s="2"/>
      <c r="F197" s="2"/>
      <c r="G197" s="2"/>
      <c r="H197" s="2"/>
      <c r="I197" s="2"/>
      <c r="J197" s="2"/>
      <c r="K197" s="2"/>
    </row>
    <row r="198" spans="1:11" x14ac:dyDescent="0.3">
      <c r="A198" s="2" t="s">
        <v>85</v>
      </c>
      <c r="B198" s="2">
        <v>177.88</v>
      </c>
      <c r="C198" s="2"/>
      <c r="D198" s="2"/>
      <c r="E198" s="2"/>
      <c r="F198" s="2"/>
      <c r="G198" s="2"/>
      <c r="H198" s="2"/>
      <c r="I198" s="2"/>
      <c r="J198" s="2"/>
      <c r="K198" s="2"/>
    </row>
    <row r="199" spans="1:11" x14ac:dyDescent="0.3">
      <c r="A199" s="2" t="s">
        <v>209</v>
      </c>
      <c r="B199" s="2">
        <v>93.63</v>
      </c>
      <c r="C199" s="2"/>
      <c r="D199" s="2"/>
      <c r="E199" s="2"/>
      <c r="F199" s="2"/>
      <c r="G199" s="2"/>
      <c r="H199" s="2"/>
      <c r="I199" s="2"/>
      <c r="J199" s="2"/>
      <c r="K199" s="2"/>
    </row>
    <row r="200" spans="1:11" x14ac:dyDescent="0.3">
      <c r="A200" s="2" t="s">
        <v>210</v>
      </c>
      <c r="B200" s="2">
        <v>155.18</v>
      </c>
      <c r="C200" s="2"/>
      <c r="D200" s="2"/>
      <c r="E200" s="2"/>
      <c r="F200" s="2"/>
      <c r="G200" s="2"/>
      <c r="H200" s="2"/>
      <c r="I200" s="2"/>
      <c r="J200" s="2"/>
      <c r="K200" s="2"/>
    </row>
    <row r="201" spans="1:11" x14ac:dyDescent="0.3">
      <c r="A201" s="2" t="s">
        <v>315</v>
      </c>
      <c r="B201" s="2">
        <v>8.33</v>
      </c>
      <c r="C201" s="2"/>
      <c r="D201" s="2"/>
      <c r="E201" s="2"/>
      <c r="F201" s="2"/>
      <c r="G201" s="2"/>
      <c r="H201" s="2"/>
      <c r="I201" s="2"/>
      <c r="J201" s="2"/>
      <c r="K201" s="2"/>
    </row>
    <row r="202" spans="1:11" x14ac:dyDescent="0.3">
      <c r="A202" s="2" t="s">
        <v>386</v>
      </c>
      <c r="B202" s="2">
        <v>399.98</v>
      </c>
      <c r="C202" s="2"/>
      <c r="D202" s="2"/>
      <c r="E202" s="2"/>
      <c r="F202" s="2"/>
      <c r="G202" s="2"/>
      <c r="H202" s="2"/>
      <c r="I202" s="2"/>
      <c r="J202" s="2"/>
      <c r="K202" s="2"/>
    </row>
    <row r="203" spans="1:11" x14ac:dyDescent="0.3">
      <c r="A203" s="2" t="s">
        <v>388</v>
      </c>
      <c r="B203" s="2">
        <v>549.98</v>
      </c>
      <c r="C203" s="2"/>
      <c r="D203" s="2"/>
      <c r="E203" s="2"/>
      <c r="F203" s="2"/>
      <c r="G203" s="2"/>
      <c r="H203" s="2"/>
      <c r="I203" s="2"/>
      <c r="J203" s="2"/>
      <c r="K203" s="2"/>
    </row>
    <row r="204" spans="1:11" x14ac:dyDescent="0.3">
      <c r="A204" s="2" t="s">
        <v>389</v>
      </c>
      <c r="B204" s="2">
        <v>11.98</v>
      </c>
      <c r="C204" s="2"/>
      <c r="D204" s="2"/>
      <c r="E204" s="2"/>
      <c r="F204" s="2"/>
      <c r="G204" s="2"/>
      <c r="H204" s="2"/>
      <c r="I204" s="2"/>
      <c r="J204" s="2"/>
      <c r="K204" s="2"/>
    </row>
    <row r="205" spans="1:11" x14ac:dyDescent="0.3">
      <c r="A205" s="7"/>
      <c r="B205" s="7"/>
      <c r="C205" s="7"/>
      <c r="D205" s="7"/>
      <c r="E205" s="7"/>
      <c r="F205" s="7"/>
      <c r="G205" s="7"/>
      <c r="H205" s="7"/>
      <c r="I205" s="7"/>
      <c r="J205" s="7"/>
      <c r="K205" s="7"/>
    </row>
    <row r="206" spans="1:11" x14ac:dyDescent="0.3">
      <c r="A206" s="7"/>
      <c r="B206" s="7"/>
      <c r="C206" s="7"/>
      <c r="D206" s="7"/>
      <c r="E206" s="7"/>
      <c r="F206" s="7"/>
      <c r="G206" s="7"/>
      <c r="H206" s="7"/>
      <c r="I206" s="7"/>
      <c r="J206" s="7"/>
      <c r="K206" s="7"/>
    </row>
    <row r="207" spans="1:11" x14ac:dyDescent="0.3">
      <c r="A207" s="7"/>
      <c r="B207" s="7"/>
      <c r="C207" s="7"/>
      <c r="D207" s="7"/>
      <c r="E207" s="7"/>
      <c r="F207" s="7"/>
      <c r="G207" s="7"/>
      <c r="H207" s="7"/>
      <c r="I207" s="7"/>
      <c r="J207" s="7"/>
      <c r="K207" s="7"/>
    </row>
    <row r="208" spans="1:11" x14ac:dyDescent="0.3">
      <c r="A208" s="7"/>
      <c r="B208" s="7"/>
      <c r="C208" s="7"/>
      <c r="D208" s="7"/>
      <c r="E208" s="7"/>
      <c r="F208" s="7"/>
      <c r="G208" s="7"/>
      <c r="H208" s="7"/>
      <c r="I208" s="7"/>
      <c r="J208" s="7"/>
      <c r="K208" s="7"/>
    </row>
    <row r="209" spans="1:11" x14ac:dyDescent="0.3">
      <c r="A209" s="140" t="s">
        <v>551</v>
      </c>
      <c r="B209" s="7"/>
      <c r="C209" s="7"/>
      <c r="D209" s="7"/>
      <c r="E209" s="7"/>
      <c r="F209" s="7"/>
      <c r="G209" s="7"/>
      <c r="H209" s="7"/>
      <c r="I209" s="7"/>
      <c r="J209" s="7"/>
      <c r="K209" s="7"/>
    </row>
    <row r="210" spans="1:11" x14ac:dyDescent="0.3">
      <c r="A210" s="4" t="s">
        <v>374</v>
      </c>
      <c r="B210" s="7"/>
      <c r="C210" s="7"/>
      <c r="D210" s="7"/>
      <c r="E210" s="7"/>
      <c r="F210" s="7"/>
      <c r="G210" s="7"/>
      <c r="H210" s="7"/>
      <c r="I210" s="7"/>
      <c r="J210" s="7"/>
      <c r="K210" s="7"/>
    </row>
    <row r="211" spans="1:11" x14ac:dyDescent="0.3">
      <c r="A211" s="2" t="s">
        <v>302</v>
      </c>
      <c r="B211" s="7"/>
      <c r="C211" s="7"/>
      <c r="D211" s="7"/>
      <c r="E211" s="7"/>
      <c r="F211" s="7"/>
      <c r="G211" s="7"/>
      <c r="H211" s="7"/>
      <c r="I211" s="7"/>
      <c r="J211" s="7"/>
      <c r="K211" s="7"/>
    </row>
    <row r="212" spans="1:11" x14ac:dyDescent="0.3">
      <c r="A212" s="2" t="s">
        <v>303</v>
      </c>
      <c r="B212" s="7"/>
      <c r="C212" s="7"/>
      <c r="D212" s="7"/>
      <c r="E212" s="7"/>
      <c r="F212" s="7"/>
      <c r="G212" s="7"/>
      <c r="H212" s="7"/>
      <c r="I212" s="7"/>
      <c r="J212" s="7"/>
      <c r="K212" s="7"/>
    </row>
    <row r="213" spans="1:11" x14ac:dyDescent="0.3">
      <c r="A213" s="2" t="s">
        <v>305</v>
      </c>
      <c r="B213" s="7"/>
      <c r="C213" s="7"/>
      <c r="D213" s="7"/>
      <c r="E213" s="7"/>
      <c r="F213" s="7"/>
      <c r="G213" s="7"/>
      <c r="H213" s="7"/>
      <c r="I213" s="7"/>
      <c r="J213" s="7"/>
      <c r="K213" s="7"/>
    </row>
    <row r="214" spans="1:11" x14ac:dyDescent="0.3">
      <c r="A214" s="2" t="s">
        <v>306</v>
      </c>
      <c r="B214" s="7"/>
      <c r="C214" s="7"/>
      <c r="D214" s="7"/>
      <c r="E214" s="7"/>
      <c r="F214" s="7"/>
      <c r="G214" s="7"/>
      <c r="H214" s="7"/>
      <c r="I214" s="7"/>
      <c r="J214" s="7"/>
      <c r="K214" s="7"/>
    </row>
    <row r="215" spans="1:11" x14ac:dyDescent="0.3">
      <c r="A215" s="2" t="s">
        <v>307</v>
      </c>
      <c r="B215" s="7"/>
      <c r="C215" s="7"/>
      <c r="D215" s="7"/>
      <c r="E215" s="7"/>
      <c r="F215" s="7"/>
      <c r="G215" s="7"/>
      <c r="H215" s="7"/>
      <c r="I215" s="7"/>
      <c r="J215" s="7"/>
      <c r="K215" s="7"/>
    </row>
    <row r="216" spans="1:11" x14ac:dyDescent="0.3">
      <c r="A216" s="2" t="s">
        <v>334</v>
      </c>
      <c r="B216" s="7"/>
      <c r="C216" s="7"/>
      <c r="D216" s="7"/>
      <c r="E216" s="7"/>
      <c r="F216" s="7"/>
      <c r="G216" s="7"/>
      <c r="H216" s="7"/>
      <c r="I216" s="7"/>
      <c r="J216" s="7"/>
      <c r="K216" s="7"/>
    </row>
    <row r="217" spans="1:11" x14ac:dyDescent="0.3">
      <c r="A217" s="2" t="s">
        <v>314</v>
      </c>
      <c r="B217" s="7"/>
      <c r="C217" s="7"/>
      <c r="D217" s="7"/>
      <c r="E217" s="7"/>
      <c r="F217" s="7"/>
      <c r="G217" s="7"/>
      <c r="H217" s="7"/>
      <c r="I217" s="7"/>
      <c r="J217" s="7"/>
      <c r="K217" s="7"/>
    </row>
    <row r="218" spans="1:11" x14ac:dyDescent="0.3">
      <c r="A218" s="2" t="s">
        <v>319</v>
      </c>
      <c r="B218" s="7"/>
      <c r="C218" s="7"/>
      <c r="D218" s="7"/>
      <c r="E218" s="7"/>
      <c r="F218" s="7"/>
      <c r="G218" s="7"/>
      <c r="H218" s="7"/>
      <c r="I218" s="7"/>
      <c r="J218" s="7"/>
      <c r="K218" s="7"/>
    </row>
    <row r="219" spans="1:11" x14ac:dyDescent="0.3">
      <c r="A219" s="2" t="s">
        <v>318</v>
      </c>
      <c r="B219" s="7"/>
      <c r="C219" s="7"/>
      <c r="D219" s="7"/>
      <c r="E219" s="7"/>
      <c r="F219" s="7"/>
      <c r="G219" s="7"/>
      <c r="H219" s="7"/>
      <c r="I219" s="7"/>
      <c r="J219" s="7"/>
      <c r="K219" s="7"/>
    </row>
    <row r="220" spans="1:11" x14ac:dyDescent="0.3">
      <c r="A220" s="2" t="s">
        <v>320</v>
      </c>
      <c r="B220" s="7"/>
      <c r="C220" s="7"/>
      <c r="D220" s="7"/>
      <c r="E220" s="7"/>
      <c r="F220" s="7"/>
      <c r="G220" s="7"/>
      <c r="H220" s="7"/>
      <c r="I220" s="7"/>
      <c r="J220" s="7"/>
      <c r="K220" s="7"/>
    </row>
    <row r="221" spans="1:11" x14ac:dyDescent="0.3">
      <c r="A221" s="2" t="s">
        <v>481</v>
      </c>
      <c r="B221" s="7"/>
      <c r="C221" s="7"/>
      <c r="D221" s="7"/>
      <c r="E221" s="7"/>
      <c r="F221" s="7"/>
      <c r="G221" s="7"/>
      <c r="H221" s="7"/>
      <c r="I221" s="7"/>
      <c r="J221" s="7"/>
      <c r="K221" s="7"/>
    </row>
    <row r="222" spans="1:11" x14ac:dyDescent="0.3">
      <c r="A222" s="2" t="s">
        <v>209</v>
      </c>
      <c r="B222" s="7"/>
      <c r="C222" s="7"/>
      <c r="D222" s="7"/>
      <c r="E222" s="7"/>
      <c r="F222" s="7"/>
      <c r="G222" s="7"/>
      <c r="H222" s="7"/>
      <c r="I222" s="7"/>
      <c r="J222" s="7"/>
      <c r="K222" s="7"/>
    </row>
    <row r="223" spans="1:11" x14ac:dyDescent="0.3">
      <c r="A223" s="2" t="s">
        <v>505</v>
      </c>
      <c r="B223" s="7"/>
      <c r="C223" s="7"/>
      <c r="D223" s="7"/>
      <c r="E223" s="7"/>
      <c r="F223" s="7"/>
      <c r="G223" s="7"/>
      <c r="H223" s="7"/>
      <c r="I223" s="7"/>
      <c r="J223" s="7"/>
      <c r="K223" s="7"/>
    </row>
    <row r="224" spans="1:11" x14ac:dyDescent="0.3">
      <c r="A224" s="2" t="s">
        <v>510</v>
      </c>
      <c r="B224" s="7"/>
      <c r="C224" s="7"/>
      <c r="D224" s="7"/>
      <c r="E224" s="7"/>
      <c r="F224" s="7"/>
      <c r="G224" s="7"/>
      <c r="H224" s="7"/>
      <c r="I224" s="7"/>
      <c r="J224" s="7"/>
      <c r="K224" s="7"/>
    </row>
    <row r="225" spans="1:11" x14ac:dyDescent="0.3">
      <c r="A225" s="2" t="s">
        <v>509</v>
      </c>
      <c r="B225" s="7"/>
      <c r="C225" s="7"/>
      <c r="D225" s="7"/>
      <c r="E225" s="7"/>
      <c r="F225" s="7"/>
      <c r="G225" s="7"/>
      <c r="H225" s="7"/>
      <c r="I225" s="7"/>
      <c r="J225" s="7"/>
      <c r="K225" s="7"/>
    </row>
    <row r="226" spans="1:11" x14ac:dyDescent="0.3">
      <c r="A226" s="2" t="s">
        <v>531</v>
      </c>
      <c r="B226" s="7"/>
      <c r="C226" s="7"/>
      <c r="D226" s="7"/>
      <c r="E226" s="7"/>
      <c r="F226" s="7"/>
      <c r="G226" s="7"/>
      <c r="H226" s="7"/>
      <c r="I226" s="7"/>
      <c r="J226" s="7"/>
      <c r="K226" s="7"/>
    </row>
    <row r="227" spans="1:11" x14ac:dyDescent="0.3">
      <c r="A227" s="4" t="s">
        <v>241</v>
      </c>
      <c r="B227" s="7"/>
      <c r="C227" s="7"/>
      <c r="D227" s="7"/>
      <c r="E227" s="7"/>
      <c r="F227" s="7"/>
      <c r="G227" s="7"/>
      <c r="H227" s="7"/>
      <c r="I227" s="7"/>
      <c r="J227" s="7"/>
      <c r="K227" s="7"/>
    </row>
    <row r="228" spans="1:11" x14ac:dyDescent="0.3">
      <c r="A228" s="2" t="s">
        <v>369</v>
      </c>
      <c r="B228" s="7"/>
      <c r="C228" s="84"/>
      <c r="D228" s="84"/>
      <c r="E228" s="7"/>
      <c r="F228" s="7"/>
      <c r="G228" s="7"/>
      <c r="H228" s="7"/>
      <c r="I228" s="7"/>
      <c r="J228" s="7"/>
      <c r="K228" s="7"/>
    </row>
    <row r="229" spans="1:11" x14ac:dyDescent="0.3">
      <c r="A229" s="2" t="s">
        <v>370</v>
      </c>
      <c r="B229" s="7"/>
      <c r="C229" s="84"/>
      <c r="D229" s="84"/>
      <c r="E229" s="7"/>
      <c r="F229" s="7"/>
      <c r="G229" s="7"/>
      <c r="H229" s="7"/>
      <c r="I229" s="7"/>
      <c r="J229" s="7"/>
      <c r="K229" s="7"/>
    </row>
    <row r="230" spans="1:11" x14ac:dyDescent="0.3">
      <c r="A230" s="2" t="s">
        <v>371</v>
      </c>
      <c r="B230" s="7"/>
      <c r="C230" s="84"/>
      <c r="D230" s="84"/>
      <c r="E230" s="7"/>
      <c r="F230" s="7"/>
      <c r="G230" s="7"/>
      <c r="H230" s="7"/>
      <c r="I230" s="7"/>
      <c r="J230" s="7"/>
      <c r="K230" s="7"/>
    </row>
    <row r="231" spans="1:11" x14ac:dyDescent="0.3">
      <c r="A231" s="2" t="s">
        <v>381</v>
      </c>
      <c r="B231" s="7"/>
      <c r="C231" s="84"/>
      <c r="D231" s="84"/>
      <c r="E231" s="7"/>
      <c r="F231" s="7"/>
      <c r="G231" s="7"/>
      <c r="H231" s="7"/>
      <c r="I231" s="7"/>
      <c r="J231" s="7"/>
      <c r="K231" s="7"/>
    </row>
    <row r="232" spans="1:11" x14ac:dyDescent="0.3">
      <c r="A232" s="2" t="s">
        <v>382</v>
      </c>
      <c r="B232" s="7"/>
      <c r="C232" s="7"/>
      <c r="D232" s="7"/>
      <c r="E232" s="7"/>
      <c r="F232" s="7"/>
      <c r="G232" s="7"/>
      <c r="H232" s="7"/>
      <c r="I232" s="7"/>
      <c r="J232" s="7"/>
      <c r="K232" s="7"/>
    </row>
    <row r="233" spans="1:11" x14ac:dyDescent="0.3">
      <c r="A233" s="2" t="s">
        <v>383</v>
      </c>
      <c r="B233" s="7"/>
      <c r="C233" s="7"/>
      <c r="D233" s="7"/>
      <c r="E233" s="7"/>
      <c r="F233" s="7"/>
      <c r="G233" s="7"/>
      <c r="H233" s="7"/>
      <c r="I233" s="7"/>
      <c r="J233" s="7"/>
      <c r="K233" s="7"/>
    </row>
    <row r="234" spans="1:11" x14ac:dyDescent="0.3">
      <c r="A234" s="4" t="s">
        <v>231</v>
      </c>
      <c r="B234" s="7"/>
      <c r="C234" s="7"/>
      <c r="D234" s="7"/>
      <c r="E234" s="7"/>
      <c r="F234" s="7"/>
      <c r="G234" s="7"/>
      <c r="H234" s="7"/>
      <c r="I234" s="7"/>
      <c r="J234" s="7"/>
      <c r="K234" s="7"/>
    </row>
    <row r="235" spans="1:11" x14ac:dyDescent="0.3">
      <c r="A235" s="2" t="s">
        <v>232</v>
      </c>
      <c r="B235" s="7"/>
      <c r="C235" s="7"/>
      <c r="D235" s="7"/>
      <c r="E235" s="7"/>
      <c r="F235" s="7"/>
      <c r="G235" s="7"/>
      <c r="H235" s="7"/>
      <c r="I235" s="7"/>
      <c r="J235" s="7"/>
      <c r="K235" s="7"/>
    </row>
    <row r="236" spans="1:11" x14ac:dyDescent="0.3">
      <c r="A236" s="2" t="s">
        <v>233</v>
      </c>
      <c r="B236" s="7"/>
      <c r="C236" s="7"/>
      <c r="D236" s="7"/>
      <c r="E236" s="7"/>
      <c r="F236" s="7"/>
      <c r="G236" s="7"/>
      <c r="H236" s="7"/>
      <c r="I236" s="7"/>
      <c r="J236" s="7"/>
      <c r="K236" s="7"/>
    </row>
    <row r="237" spans="1:11" x14ac:dyDescent="0.3">
      <c r="A237" s="2" t="s">
        <v>234</v>
      </c>
      <c r="B237" s="84"/>
      <c r="C237" s="7"/>
      <c r="D237" s="7"/>
      <c r="E237" s="7"/>
      <c r="F237" s="7"/>
      <c r="G237" s="7"/>
      <c r="H237" s="7"/>
      <c r="I237" s="7"/>
      <c r="J237" s="7"/>
      <c r="K237" s="7"/>
    </row>
    <row r="238" spans="1:11" x14ac:dyDescent="0.3">
      <c r="A238" s="2" t="s">
        <v>235</v>
      </c>
      <c r="B238" s="84"/>
      <c r="C238" s="7"/>
      <c r="D238" s="7"/>
      <c r="E238" s="7"/>
      <c r="F238" s="7"/>
      <c r="G238" s="7"/>
      <c r="H238" s="7"/>
      <c r="I238" s="7"/>
      <c r="J238" s="7"/>
      <c r="K238" s="7"/>
    </row>
    <row r="239" spans="1:11" x14ac:dyDescent="0.3">
      <c r="A239" s="2" t="s">
        <v>332</v>
      </c>
      <c r="B239" s="7"/>
      <c r="C239" s="7"/>
      <c r="D239" s="7"/>
      <c r="E239" s="7"/>
      <c r="F239" s="7"/>
      <c r="G239" s="7"/>
      <c r="H239" s="7"/>
      <c r="I239" s="7"/>
      <c r="J239" s="7"/>
      <c r="K239" s="7"/>
    </row>
    <row r="240" spans="1:11" x14ac:dyDescent="0.3">
      <c r="A240" s="2" t="s">
        <v>297</v>
      </c>
    </row>
    <row r="241" spans="1:1" x14ac:dyDescent="0.3">
      <c r="A241" s="2" t="s">
        <v>236</v>
      </c>
    </row>
    <row r="242" spans="1:1" x14ac:dyDescent="0.3">
      <c r="A242" s="2"/>
    </row>
    <row r="243" spans="1:1" x14ac:dyDescent="0.3">
      <c r="A243" s="127" t="s">
        <v>189</v>
      </c>
    </row>
    <row r="244" spans="1:1" x14ac:dyDescent="0.3">
      <c r="A244" s="2" t="s">
        <v>190</v>
      </c>
    </row>
    <row r="245" spans="1:1" x14ac:dyDescent="0.3">
      <c r="A245" s="2" t="s">
        <v>191</v>
      </c>
    </row>
    <row r="246" spans="1:1" x14ac:dyDescent="0.3">
      <c r="A246" s="2" t="s">
        <v>192</v>
      </c>
    </row>
    <row r="247" spans="1:1" x14ac:dyDescent="0.3">
      <c r="A247" s="2" t="s">
        <v>324</v>
      </c>
    </row>
    <row r="248" spans="1:1" x14ac:dyDescent="0.3">
      <c r="A248" s="2" t="s">
        <v>259</v>
      </c>
    </row>
    <row r="250" spans="1:1" x14ac:dyDescent="0.3">
      <c r="A250" s="4" t="s">
        <v>211</v>
      </c>
    </row>
    <row r="251" spans="1:1" x14ac:dyDescent="0.3">
      <c r="A251" s="4" t="s">
        <v>552</v>
      </c>
    </row>
    <row r="252" spans="1:1" x14ac:dyDescent="0.3">
      <c r="A252" s="52">
        <v>90</v>
      </c>
    </row>
    <row r="253" spans="1:1" x14ac:dyDescent="0.3">
      <c r="A253" s="52">
        <v>45</v>
      </c>
    </row>
    <row r="254" spans="1:1" x14ac:dyDescent="0.3">
      <c r="A254" s="2" t="s">
        <v>217</v>
      </c>
    </row>
    <row r="255" spans="1:1" x14ac:dyDescent="0.3">
      <c r="A255" s="2" t="s">
        <v>260</v>
      </c>
    </row>
    <row r="256" spans="1:1" x14ac:dyDescent="0.3">
      <c r="A256" s="2" t="s">
        <v>218</v>
      </c>
    </row>
    <row r="257" spans="1:1" x14ac:dyDescent="0.3">
      <c r="A257" s="2" t="s">
        <v>219</v>
      </c>
    </row>
    <row r="258" spans="1:1" x14ac:dyDescent="0.3">
      <c r="A258" s="2" t="s">
        <v>220</v>
      </c>
    </row>
    <row r="259" spans="1:1" x14ac:dyDescent="0.3">
      <c r="A259" s="2" t="s">
        <v>221</v>
      </c>
    </row>
    <row r="260" spans="1:1" x14ac:dyDescent="0.3">
      <c r="A260" s="2" t="s">
        <v>222</v>
      </c>
    </row>
    <row r="261" spans="1:1" x14ac:dyDescent="0.3">
      <c r="A261" s="139" t="s">
        <v>553</v>
      </c>
    </row>
    <row r="262" spans="1:1" x14ac:dyDescent="0.3">
      <c r="A262" s="52">
        <v>90</v>
      </c>
    </row>
    <row r="263" spans="1:1" x14ac:dyDescent="0.3">
      <c r="A263" s="52">
        <v>45</v>
      </c>
    </row>
    <row r="264" spans="1:1" x14ac:dyDescent="0.3">
      <c r="A264" s="2" t="s">
        <v>217</v>
      </c>
    </row>
    <row r="265" spans="1:1" x14ac:dyDescent="0.3">
      <c r="A265" s="2" t="s">
        <v>260</v>
      </c>
    </row>
    <row r="266" spans="1:1" x14ac:dyDescent="0.3">
      <c r="A266" s="2" t="s">
        <v>218</v>
      </c>
    </row>
    <row r="267" spans="1:1" x14ac:dyDescent="0.3">
      <c r="A267" s="2" t="s">
        <v>219</v>
      </c>
    </row>
    <row r="268" spans="1:1" x14ac:dyDescent="0.3">
      <c r="A268" s="2" t="s">
        <v>220</v>
      </c>
    </row>
    <row r="269" spans="1:1" x14ac:dyDescent="0.3">
      <c r="A269" s="2" t="s">
        <v>221</v>
      </c>
    </row>
    <row r="270" spans="1:1" x14ac:dyDescent="0.3">
      <c r="A270" s="2" t="s">
        <v>222</v>
      </c>
    </row>
    <row r="271" spans="1:1" x14ac:dyDescent="0.3">
      <c r="A271" s="139" t="s">
        <v>554</v>
      </c>
    </row>
    <row r="272" spans="1:1" x14ac:dyDescent="0.3">
      <c r="A272" s="52">
        <v>90</v>
      </c>
    </row>
    <row r="273" spans="1:1" x14ac:dyDescent="0.3">
      <c r="A273" s="52">
        <v>45</v>
      </c>
    </row>
    <row r="274" spans="1:1" x14ac:dyDescent="0.3">
      <c r="A274" s="2" t="s">
        <v>217</v>
      </c>
    </row>
    <row r="275" spans="1:1" x14ac:dyDescent="0.3">
      <c r="A275" s="2" t="s">
        <v>260</v>
      </c>
    </row>
    <row r="276" spans="1:1" x14ac:dyDescent="0.3">
      <c r="A276" s="2" t="s">
        <v>218</v>
      </c>
    </row>
    <row r="277" spans="1:1" x14ac:dyDescent="0.3">
      <c r="A277" s="2" t="s">
        <v>219</v>
      </c>
    </row>
    <row r="278" spans="1:1" x14ac:dyDescent="0.3">
      <c r="A278" s="2" t="s">
        <v>220</v>
      </c>
    </row>
    <row r="279" spans="1:1" x14ac:dyDescent="0.3">
      <c r="A279" s="2" t="s">
        <v>221</v>
      </c>
    </row>
    <row r="280" spans="1:1" x14ac:dyDescent="0.3">
      <c r="A280" s="2" t="s">
        <v>222</v>
      </c>
    </row>
    <row r="281" spans="1:1" x14ac:dyDescent="0.3">
      <c r="A281" s="139" t="s">
        <v>555</v>
      </c>
    </row>
    <row r="282" spans="1:1" x14ac:dyDescent="0.3">
      <c r="A282" s="52">
        <v>90</v>
      </c>
    </row>
    <row r="283" spans="1:1" x14ac:dyDescent="0.3">
      <c r="A283" s="52">
        <v>45</v>
      </c>
    </row>
    <row r="284" spans="1:1" x14ac:dyDescent="0.3">
      <c r="A284" s="2" t="s">
        <v>217</v>
      </c>
    </row>
    <row r="285" spans="1:1" x14ac:dyDescent="0.3">
      <c r="A285" s="2" t="s">
        <v>260</v>
      </c>
    </row>
    <row r="286" spans="1:1" x14ac:dyDescent="0.3">
      <c r="A286" s="2" t="s">
        <v>218</v>
      </c>
    </row>
    <row r="287" spans="1:1" x14ac:dyDescent="0.3">
      <c r="A287" s="2" t="s">
        <v>219</v>
      </c>
    </row>
    <row r="288" spans="1:1" x14ac:dyDescent="0.3">
      <c r="A288" s="2" t="s">
        <v>220</v>
      </c>
    </row>
    <row r="289" spans="1:1" x14ac:dyDescent="0.3">
      <c r="A289" s="2" t="s">
        <v>221</v>
      </c>
    </row>
    <row r="290" spans="1:1" x14ac:dyDescent="0.3">
      <c r="A290" s="2" t="s">
        <v>222</v>
      </c>
    </row>
    <row r="291" spans="1:1" x14ac:dyDescent="0.3">
      <c r="A291" s="139" t="s">
        <v>556</v>
      </c>
    </row>
    <row r="292" spans="1:1" x14ac:dyDescent="0.3">
      <c r="A292" s="52">
        <v>90</v>
      </c>
    </row>
    <row r="293" spans="1:1" x14ac:dyDescent="0.3">
      <c r="A293" s="52">
        <v>45</v>
      </c>
    </row>
    <row r="294" spans="1:1" x14ac:dyDescent="0.3">
      <c r="A294" s="2" t="s">
        <v>217</v>
      </c>
    </row>
    <row r="295" spans="1:1" x14ac:dyDescent="0.3">
      <c r="A295" s="2" t="s">
        <v>260</v>
      </c>
    </row>
    <row r="296" spans="1:1" x14ac:dyDescent="0.3">
      <c r="A296" s="2" t="s">
        <v>218</v>
      </c>
    </row>
    <row r="297" spans="1:1" x14ac:dyDescent="0.3">
      <c r="A297" s="2" t="s">
        <v>219</v>
      </c>
    </row>
    <row r="298" spans="1:1" x14ac:dyDescent="0.3">
      <c r="A298" s="2" t="s">
        <v>220</v>
      </c>
    </row>
    <row r="299" spans="1:1" x14ac:dyDescent="0.3">
      <c r="A299" s="2" t="s">
        <v>221</v>
      </c>
    </row>
    <row r="300" spans="1:1" x14ac:dyDescent="0.3">
      <c r="A300" s="2" t="s">
        <v>222</v>
      </c>
    </row>
    <row r="301" spans="1:1" x14ac:dyDescent="0.3">
      <c r="A301" s="4" t="s">
        <v>562</v>
      </c>
    </row>
    <row r="302" spans="1:1" x14ac:dyDescent="0.3">
      <c r="A302" s="52">
        <v>90</v>
      </c>
    </row>
    <row r="303" spans="1:1" x14ac:dyDescent="0.3">
      <c r="A303" s="52">
        <v>45</v>
      </c>
    </row>
    <row r="304" spans="1:1" x14ac:dyDescent="0.3">
      <c r="A304" s="2" t="s">
        <v>217</v>
      </c>
    </row>
    <row r="305" spans="1:1" x14ac:dyDescent="0.3">
      <c r="A305" s="2" t="s">
        <v>260</v>
      </c>
    </row>
    <row r="306" spans="1:1" x14ac:dyDescent="0.3">
      <c r="A306" s="2" t="s">
        <v>218</v>
      </c>
    </row>
    <row r="307" spans="1:1" x14ac:dyDescent="0.3">
      <c r="A307" s="2" t="s">
        <v>219</v>
      </c>
    </row>
    <row r="308" spans="1:1" x14ac:dyDescent="0.3">
      <c r="A308" s="2" t="s">
        <v>220</v>
      </c>
    </row>
    <row r="309" spans="1:1" x14ac:dyDescent="0.3">
      <c r="A309" s="2" t="s">
        <v>221</v>
      </c>
    </row>
    <row r="310" spans="1:1" x14ac:dyDescent="0.3">
      <c r="A310" s="2" t="s">
        <v>222</v>
      </c>
    </row>
    <row r="311" spans="1:1" x14ac:dyDescent="0.3">
      <c r="A311" s="139" t="s">
        <v>561</v>
      </c>
    </row>
    <row r="312" spans="1:1" x14ac:dyDescent="0.3">
      <c r="A312" s="52">
        <v>90</v>
      </c>
    </row>
    <row r="313" spans="1:1" x14ac:dyDescent="0.3">
      <c r="A313" s="52">
        <v>45</v>
      </c>
    </row>
    <row r="314" spans="1:1" x14ac:dyDescent="0.3">
      <c r="A314" s="2" t="s">
        <v>217</v>
      </c>
    </row>
    <row r="315" spans="1:1" x14ac:dyDescent="0.3">
      <c r="A315" s="2" t="s">
        <v>260</v>
      </c>
    </row>
    <row r="316" spans="1:1" x14ac:dyDescent="0.3">
      <c r="A316" s="2" t="s">
        <v>218</v>
      </c>
    </row>
    <row r="317" spans="1:1" x14ac:dyDescent="0.3">
      <c r="A317" s="2" t="s">
        <v>219</v>
      </c>
    </row>
    <row r="318" spans="1:1" x14ac:dyDescent="0.3">
      <c r="A318" s="2" t="s">
        <v>220</v>
      </c>
    </row>
    <row r="319" spans="1:1" x14ac:dyDescent="0.3">
      <c r="A319" s="2" t="s">
        <v>221</v>
      </c>
    </row>
    <row r="320" spans="1:1" x14ac:dyDescent="0.3">
      <c r="A320" s="2" t="s">
        <v>222</v>
      </c>
    </row>
    <row r="321" spans="1:1" x14ac:dyDescent="0.3">
      <c r="A321" s="139" t="s">
        <v>560</v>
      </c>
    </row>
    <row r="322" spans="1:1" x14ac:dyDescent="0.3">
      <c r="A322" s="52">
        <v>90</v>
      </c>
    </row>
    <row r="323" spans="1:1" x14ac:dyDescent="0.3">
      <c r="A323" s="52">
        <v>45</v>
      </c>
    </row>
    <row r="324" spans="1:1" x14ac:dyDescent="0.3">
      <c r="A324" s="2" t="s">
        <v>217</v>
      </c>
    </row>
    <row r="325" spans="1:1" x14ac:dyDescent="0.3">
      <c r="A325" s="2" t="s">
        <v>260</v>
      </c>
    </row>
    <row r="326" spans="1:1" x14ac:dyDescent="0.3">
      <c r="A326" s="2" t="s">
        <v>218</v>
      </c>
    </row>
    <row r="327" spans="1:1" x14ac:dyDescent="0.3">
      <c r="A327" s="2" t="s">
        <v>219</v>
      </c>
    </row>
    <row r="328" spans="1:1" x14ac:dyDescent="0.3">
      <c r="A328" s="2" t="s">
        <v>220</v>
      </c>
    </row>
    <row r="329" spans="1:1" x14ac:dyDescent="0.3">
      <c r="A329" s="2" t="s">
        <v>221</v>
      </c>
    </row>
    <row r="330" spans="1:1" x14ac:dyDescent="0.3">
      <c r="A330" s="2" t="s">
        <v>222</v>
      </c>
    </row>
    <row r="331" spans="1:1" x14ac:dyDescent="0.3">
      <c r="A331" s="139" t="s">
        <v>559</v>
      </c>
    </row>
    <row r="332" spans="1:1" x14ac:dyDescent="0.3">
      <c r="A332" s="52">
        <v>90</v>
      </c>
    </row>
    <row r="333" spans="1:1" x14ac:dyDescent="0.3">
      <c r="A333" s="52">
        <v>45</v>
      </c>
    </row>
    <row r="334" spans="1:1" x14ac:dyDescent="0.3">
      <c r="A334" s="2" t="s">
        <v>217</v>
      </c>
    </row>
    <row r="335" spans="1:1" x14ac:dyDescent="0.3">
      <c r="A335" s="2" t="s">
        <v>260</v>
      </c>
    </row>
    <row r="336" spans="1:1" x14ac:dyDescent="0.3">
      <c r="A336" s="2" t="s">
        <v>218</v>
      </c>
    </row>
    <row r="337" spans="1:1" x14ac:dyDescent="0.3">
      <c r="A337" s="2" t="s">
        <v>219</v>
      </c>
    </row>
    <row r="338" spans="1:1" x14ac:dyDescent="0.3">
      <c r="A338" s="2" t="s">
        <v>220</v>
      </c>
    </row>
    <row r="339" spans="1:1" x14ac:dyDescent="0.3">
      <c r="A339" s="2" t="s">
        <v>221</v>
      </c>
    </row>
    <row r="340" spans="1:1" x14ac:dyDescent="0.3">
      <c r="A340" s="2" t="s">
        <v>222</v>
      </c>
    </row>
    <row r="341" spans="1:1" x14ac:dyDescent="0.3">
      <c r="A341" s="139" t="s">
        <v>558</v>
      </c>
    </row>
    <row r="342" spans="1:1" x14ac:dyDescent="0.3">
      <c r="A342" s="52">
        <v>90</v>
      </c>
    </row>
    <row r="343" spans="1:1" x14ac:dyDescent="0.3">
      <c r="A343" s="52">
        <v>45</v>
      </c>
    </row>
    <row r="344" spans="1:1" x14ac:dyDescent="0.3">
      <c r="A344" s="2" t="s">
        <v>217</v>
      </c>
    </row>
    <row r="345" spans="1:1" x14ac:dyDescent="0.3">
      <c r="A345" s="2" t="s">
        <v>260</v>
      </c>
    </row>
    <row r="346" spans="1:1" x14ac:dyDescent="0.3">
      <c r="A346" s="2" t="s">
        <v>218</v>
      </c>
    </row>
    <row r="347" spans="1:1" x14ac:dyDescent="0.3">
      <c r="A347" s="2" t="s">
        <v>219</v>
      </c>
    </row>
    <row r="348" spans="1:1" x14ac:dyDescent="0.3">
      <c r="A348" s="2" t="s">
        <v>220</v>
      </c>
    </row>
    <row r="349" spans="1:1" x14ac:dyDescent="0.3">
      <c r="A349" s="2" t="s">
        <v>221</v>
      </c>
    </row>
    <row r="350" spans="1:1" x14ac:dyDescent="0.3">
      <c r="A350" s="2" t="s">
        <v>222</v>
      </c>
    </row>
    <row r="351" spans="1:1" x14ac:dyDescent="0.3">
      <c r="A351" s="4" t="s">
        <v>563</v>
      </c>
    </row>
    <row r="352" spans="1:1" x14ac:dyDescent="0.3">
      <c r="A352" s="52">
        <v>90</v>
      </c>
    </row>
    <row r="353" spans="1:1" x14ac:dyDescent="0.3">
      <c r="A353" s="52">
        <v>45</v>
      </c>
    </row>
    <row r="354" spans="1:1" x14ac:dyDescent="0.3">
      <c r="A354" s="2" t="s">
        <v>217</v>
      </c>
    </row>
    <row r="355" spans="1:1" x14ac:dyDescent="0.3">
      <c r="A355" s="2" t="s">
        <v>260</v>
      </c>
    </row>
    <row r="356" spans="1:1" x14ac:dyDescent="0.3">
      <c r="A356" s="2" t="s">
        <v>218</v>
      </c>
    </row>
    <row r="357" spans="1:1" x14ac:dyDescent="0.3">
      <c r="A357" s="2" t="s">
        <v>219</v>
      </c>
    </row>
    <row r="358" spans="1:1" x14ac:dyDescent="0.3">
      <c r="A358" s="2" t="s">
        <v>220</v>
      </c>
    </row>
    <row r="359" spans="1:1" x14ac:dyDescent="0.3">
      <c r="A359" s="2" t="s">
        <v>221</v>
      </c>
    </row>
    <row r="360" spans="1:1" x14ac:dyDescent="0.3">
      <c r="A360" s="2" t="s">
        <v>222</v>
      </c>
    </row>
    <row r="361" spans="1:1" x14ac:dyDescent="0.3">
      <c r="A361" s="139" t="s">
        <v>564</v>
      </c>
    </row>
    <row r="362" spans="1:1" x14ac:dyDescent="0.3">
      <c r="A362" s="52">
        <v>90</v>
      </c>
    </row>
    <row r="363" spans="1:1" x14ac:dyDescent="0.3">
      <c r="A363" s="52">
        <v>45</v>
      </c>
    </row>
    <row r="364" spans="1:1" x14ac:dyDescent="0.3">
      <c r="A364" s="2" t="s">
        <v>217</v>
      </c>
    </row>
    <row r="365" spans="1:1" x14ac:dyDescent="0.3">
      <c r="A365" s="2" t="s">
        <v>260</v>
      </c>
    </row>
    <row r="366" spans="1:1" x14ac:dyDescent="0.3">
      <c r="A366" s="2" t="s">
        <v>218</v>
      </c>
    </row>
    <row r="367" spans="1:1" x14ac:dyDescent="0.3">
      <c r="A367" s="2" t="s">
        <v>219</v>
      </c>
    </row>
    <row r="368" spans="1:1" x14ac:dyDescent="0.3">
      <c r="A368" s="2" t="s">
        <v>220</v>
      </c>
    </row>
    <row r="369" spans="1:1" x14ac:dyDescent="0.3">
      <c r="A369" s="2" t="s">
        <v>221</v>
      </c>
    </row>
    <row r="370" spans="1:1" x14ac:dyDescent="0.3">
      <c r="A370" s="2" t="s">
        <v>222</v>
      </c>
    </row>
    <row r="371" spans="1:1" x14ac:dyDescent="0.3">
      <c r="A371" s="139" t="s">
        <v>560</v>
      </c>
    </row>
    <row r="372" spans="1:1" x14ac:dyDescent="0.3">
      <c r="A372" s="52">
        <v>90</v>
      </c>
    </row>
    <row r="373" spans="1:1" x14ac:dyDescent="0.3">
      <c r="A373" s="52">
        <v>45</v>
      </c>
    </row>
    <row r="374" spans="1:1" x14ac:dyDescent="0.3">
      <c r="A374" s="2" t="s">
        <v>217</v>
      </c>
    </row>
    <row r="375" spans="1:1" x14ac:dyDescent="0.3">
      <c r="A375" s="2" t="s">
        <v>260</v>
      </c>
    </row>
    <row r="376" spans="1:1" x14ac:dyDescent="0.3">
      <c r="A376" s="2" t="s">
        <v>218</v>
      </c>
    </row>
    <row r="377" spans="1:1" x14ac:dyDescent="0.3">
      <c r="A377" s="2" t="s">
        <v>219</v>
      </c>
    </row>
    <row r="378" spans="1:1" x14ac:dyDescent="0.3">
      <c r="A378" s="2" t="s">
        <v>220</v>
      </c>
    </row>
    <row r="379" spans="1:1" x14ac:dyDescent="0.3">
      <c r="A379" s="2" t="s">
        <v>221</v>
      </c>
    </row>
    <row r="380" spans="1:1" x14ac:dyDescent="0.3">
      <c r="A380" s="2" t="s">
        <v>222</v>
      </c>
    </row>
    <row r="381" spans="1:1" x14ac:dyDescent="0.3">
      <c r="A381" s="139" t="s">
        <v>565</v>
      </c>
    </row>
    <row r="382" spans="1:1" x14ac:dyDescent="0.3">
      <c r="A382" s="52">
        <v>90</v>
      </c>
    </row>
    <row r="383" spans="1:1" x14ac:dyDescent="0.3">
      <c r="A383" s="52">
        <v>45</v>
      </c>
    </row>
    <row r="384" spans="1:1" x14ac:dyDescent="0.3">
      <c r="A384" s="2" t="s">
        <v>217</v>
      </c>
    </row>
    <row r="385" spans="1:1" x14ac:dyDescent="0.3">
      <c r="A385" s="2" t="s">
        <v>260</v>
      </c>
    </row>
    <row r="386" spans="1:1" x14ac:dyDescent="0.3">
      <c r="A386" s="2" t="s">
        <v>218</v>
      </c>
    </row>
    <row r="387" spans="1:1" x14ac:dyDescent="0.3">
      <c r="A387" s="2" t="s">
        <v>219</v>
      </c>
    </row>
    <row r="388" spans="1:1" x14ac:dyDescent="0.3">
      <c r="A388" s="2" t="s">
        <v>220</v>
      </c>
    </row>
    <row r="389" spans="1:1" x14ac:dyDescent="0.3">
      <c r="A389" s="2" t="s">
        <v>221</v>
      </c>
    </row>
    <row r="390" spans="1:1" x14ac:dyDescent="0.3">
      <c r="A390" s="2" t="s">
        <v>222</v>
      </c>
    </row>
    <row r="391" spans="1:1" x14ac:dyDescent="0.3">
      <c r="A391" s="139" t="s">
        <v>566</v>
      </c>
    </row>
    <row r="392" spans="1:1" x14ac:dyDescent="0.3">
      <c r="A392" s="52">
        <v>90</v>
      </c>
    </row>
    <row r="393" spans="1:1" x14ac:dyDescent="0.3">
      <c r="A393" s="52">
        <v>45</v>
      </c>
    </row>
    <row r="394" spans="1:1" x14ac:dyDescent="0.3">
      <c r="A394" s="2" t="s">
        <v>217</v>
      </c>
    </row>
    <row r="395" spans="1:1" x14ac:dyDescent="0.3">
      <c r="A395" s="2" t="s">
        <v>260</v>
      </c>
    </row>
    <row r="396" spans="1:1" x14ac:dyDescent="0.3">
      <c r="A396" s="2" t="s">
        <v>218</v>
      </c>
    </row>
    <row r="397" spans="1:1" x14ac:dyDescent="0.3">
      <c r="A397" s="2" t="s">
        <v>219</v>
      </c>
    </row>
    <row r="398" spans="1:1" x14ac:dyDescent="0.3">
      <c r="A398" s="2" t="s">
        <v>220</v>
      </c>
    </row>
    <row r="399" spans="1:1" x14ac:dyDescent="0.3">
      <c r="A399" s="2" t="s">
        <v>221</v>
      </c>
    </row>
    <row r="400" spans="1:1" x14ac:dyDescent="0.3">
      <c r="A400" s="2" t="s">
        <v>222</v>
      </c>
    </row>
    <row r="401" spans="1:1" x14ac:dyDescent="0.3">
      <c r="A401" s="4" t="s">
        <v>242</v>
      </c>
    </row>
    <row r="402" spans="1:1" x14ac:dyDescent="0.3">
      <c r="A402" s="2" t="s">
        <v>243</v>
      </c>
    </row>
    <row r="403" spans="1:1" x14ac:dyDescent="0.3">
      <c r="A403" s="2" t="s">
        <v>244</v>
      </c>
    </row>
    <row r="404" spans="1:1" x14ac:dyDescent="0.3">
      <c r="A404" s="2" t="s">
        <v>245</v>
      </c>
    </row>
    <row r="405" spans="1:1" x14ac:dyDescent="0.3">
      <c r="A405" s="2" t="s">
        <v>246</v>
      </c>
    </row>
    <row r="406" spans="1:1" x14ac:dyDescent="0.3">
      <c r="A406" s="2" t="s">
        <v>299</v>
      </c>
    </row>
    <row r="407" spans="1:1" x14ac:dyDescent="0.3">
      <c r="A407" s="2" t="s">
        <v>247</v>
      </c>
    </row>
    <row r="408" spans="1:1" x14ac:dyDescent="0.3">
      <c r="A408" s="2" t="s">
        <v>248</v>
      </c>
    </row>
    <row r="409" spans="1:1" x14ac:dyDescent="0.3">
      <c r="A409" s="2" t="s">
        <v>249</v>
      </c>
    </row>
    <row r="410" spans="1:1" x14ac:dyDescent="0.3">
      <c r="A410" s="2" t="s">
        <v>250</v>
      </c>
    </row>
    <row r="411" spans="1:1" x14ac:dyDescent="0.3">
      <c r="A411" s="2" t="s">
        <v>251</v>
      </c>
    </row>
    <row r="412" spans="1:1" x14ac:dyDescent="0.3">
      <c r="A412" s="2" t="s">
        <v>252</v>
      </c>
    </row>
    <row r="413" spans="1:1" x14ac:dyDescent="0.3">
      <c r="A413" s="139" t="s">
        <v>567</v>
      </c>
    </row>
    <row r="414" spans="1:1" x14ac:dyDescent="0.3">
      <c r="A414" s="2" t="s">
        <v>256</v>
      </c>
    </row>
    <row r="415" spans="1:1" x14ac:dyDescent="0.3">
      <c r="A415" s="2" t="s">
        <v>257</v>
      </c>
    </row>
    <row r="416" spans="1:1" x14ac:dyDescent="0.3">
      <c r="A416" s="2" t="s">
        <v>258</v>
      </c>
    </row>
    <row r="417" spans="1:1" x14ac:dyDescent="0.3">
      <c r="A417" s="139" t="s">
        <v>568</v>
      </c>
    </row>
    <row r="418" spans="1:1" x14ac:dyDescent="0.3">
      <c r="A418" s="2" t="s">
        <v>256</v>
      </c>
    </row>
    <row r="419" spans="1:1" x14ac:dyDescent="0.3">
      <c r="A419" s="2" t="s">
        <v>257</v>
      </c>
    </row>
    <row r="420" spans="1:1" x14ac:dyDescent="0.3">
      <c r="A420" s="2" t="s">
        <v>258</v>
      </c>
    </row>
    <row r="421" spans="1:1" x14ac:dyDescent="0.3">
      <c r="A421" s="139" t="s">
        <v>569</v>
      </c>
    </row>
    <row r="422" spans="1:1" x14ac:dyDescent="0.3">
      <c r="A422" s="2" t="s">
        <v>256</v>
      </c>
    </row>
    <row r="423" spans="1:1" x14ac:dyDescent="0.3">
      <c r="A423" s="2" t="s">
        <v>257</v>
      </c>
    </row>
    <row r="424" spans="1:1" x14ac:dyDescent="0.3">
      <c r="A424" s="2" t="s">
        <v>258</v>
      </c>
    </row>
    <row r="425" spans="1:1" x14ac:dyDescent="0.3">
      <c r="A425" s="4" t="s">
        <v>373</v>
      </c>
    </row>
    <row r="426" spans="1:1" x14ac:dyDescent="0.3">
      <c r="A426" s="2" t="s">
        <v>485</v>
      </c>
    </row>
    <row r="427" spans="1:1" x14ac:dyDescent="0.3">
      <c r="A427" s="2" t="s">
        <v>484</v>
      </c>
    </row>
    <row r="428" spans="1:1" x14ac:dyDescent="0.3">
      <c r="A428" s="2" t="s">
        <v>487</v>
      </c>
    </row>
    <row r="429" spans="1:1" x14ac:dyDescent="0.3">
      <c r="A429" s="2" t="s">
        <v>486</v>
      </c>
    </row>
    <row r="430" spans="1:1" x14ac:dyDescent="0.3">
      <c r="A430" s="2" t="s">
        <v>300</v>
      </c>
    </row>
    <row r="431" spans="1:1" x14ac:dyDescent="0.3">
      <c r="A431" s="2" t="s">
        <v>333</v>
      </c>
    </row>
    <row r="432" spans="1:1" x14ac:dyDescent="0.3">
      <c r="A432" s="2" t="s">
        <v>301</v>
      </c>
    </row>
    <row r="433" spans="1:1" x14ac:dyDescent="0.3">
      <c r="A433" s="2" t="s">
        <v>304</v>
      </c>
    </row>
    <row r="434" spans="1:1" x14ac:dyDescent="0.3">
      <c r="A434" s="2" t="s">
        <v>308</v>
      </c>
    </row>
    <row r="435" spans="1:1" x14ac:dyDescent="0.3">
      <c r="A435" s="2" t="s">
        <v>309</v>
      </c>
    </row>
    <row r="436" spans="1:1" x14ac:dyDescent="0.3">
      <c r="A436" s="2" t="s">
        <v>310</v>
      </c>
    </row>
    <row r="437" spans="1:1" x14ac:dyDescent="0.3">
      <c r="A437" s="4" t="s">
        <v>375</v>
      </c>
    </row>
    <row r="438" spans="1:1" x14ac:dyDescent="0.3">
      <c r="A438" s="2" t="s">
        <v>311</v>
      </c>
    </row>
    <row r="439" spans="1:1" x14ac:dyDescent="0.3">
      <c r="A439" s="2" t="s">
        <v>312</v>
      </c>
    </row>
    <row r="440" spans="1:1" x14ac:dyDescent="0.3">
      <c r="A440" s="2" t="s">
        <v>528</v>
      </c>
    </row>
    <row r="441" spans="1:1" x14ac:dyDescent="0.3">
      <c r="A441" s="4" t="s">
        <v>497</v>
      </c>
    </row>
    <row r="442" spans="1:1" x14ac:dyDescent="0.3">
      <c r="A442" s="49" t="s">
        <v>477</v>
      </c>
    </row>
    <row r="443" spans="1:1" x14ac:dyDescent="0.3">
      <c r="A443" s="2" t="s">
        <v>525</v>
      </c>
    </row>
    <row r="444" spans="1:1" x14ac:dyDescent="0.3">
      <c r="A444" s="4" t="s">
        <v>378</v>
      </c>
    </row>
    <row r="445" spans="1:1" x14ac:dyDescent="0.3">
      <c r="A445" s="2" t="s">
        <v>321</v>
      </c>
    </row>
    <row r="446" spans="1:1" x14ac:dyDescent="0.3">
      <c r="A446" s="2" t="s">
        <v>322</v>
      </c>
    </row>
    <row r="447" spans="1:1" x14ac:dyDescent="0.3">
      <c r="A447" s="4" t="s">
        <v>359</v>
      </c>
    </row>
    <row r="448" spans="1:1" x14ac:dyDescent="0.3">
      <c r="A448" s="2" t="s">
        <v>335</v>
      </c>
    </row>
    <row r="449" spans="1:1" x14ac:dyDescent="0.3">
      <c r="A449" s="2" t="s">
        <v>336</v>
      </c>
    </row>
    <row r="450" spans="1:1" x14ac:dyDescent="0.3">
      <c r="A450" s="2" t="s">
        <v>313</v>
      </c>
    </row>
    <row r="451" spans="1:1" x14ac:dyDescent="0.3">
      <c r="A451" s="2" t="s">
        <v>536</v>
      </c>
    </row>
    <row r="452" spans="1:1" x14ac:dyDescent="0.3">
      <c r="A452" s="2" t="s">
        <v>545</v>
      </c>
    </row>
    <row r="453" spans="1:1" x14ac:dyDescent="0.3">
      <c r="A453" s="132" t="s">
        <v>237</v>
      </c>
    </row>
    <row r="454" spans="1:1" x14ac:dyDescent="0.3">
      <c r="A454" t="s">
        <v>573</v>
      </c>
    </row>
    <row r="455" spans="1:1" x14ac:dyDescent="0.3">
      <c r="A455" t="s">
        <v>570</v>
      </c>
    </row>
    <row r="456" spans="1:1" x14ac:dyDescent="0.3">
      <c r="A456" t="s">
        <v>571</v>
      </c>
    </row>
    <row r="457" spans="1:1" x14ac:dyDescent="0.3">
      <c r="A457" t="s">
        <v>572</v>
      </c>
    </row>
    <row r="458" spans="1:1" x14ac:dyDescent="0.3">
      <c r="A458" t="s">
        <v>574</v>
      </c>
    </row>
    <row r="459" spans="1:1" x14ac:dyDescent="0.3">
      <c r="A459" t="s">
        <v>575</v>
      </c>
    </row>
    <row r="460" spans="1:1" x14ac:dyDescent="0.3">
      <c r="A460" s="4" t="s">
        <v>496</v>
      </c>
    </row>
    <row r="461" spans="1:1" x14ac:dyDescent="0.3">
      <c r="A461" s="2" t="s">
        <v>367</v>
      </c>
    </row>
    <row r="462" spans="1:1" x14ac:dyDescent="0.3">
      <c r="A462" s="2" t="s">
        <v>368</v>
      </c>
    </row>
    <row r="463" spans="1:1" x14ac:dyDescent="0.3">
      <c r="A463" s="2" t="s">
        <v>343</v>
      </c>
    </row>
    <row r="464" spans="1:1" x14ac:dyDescent="0.3">
      <c r="A464" s="2" t="s">
        <v>351</v>
      </c>
    </row>
    <row r="465" spans="1:1" x14ac:dyDescent="0.3">
      <c r="A465" s="2" t="s">
        <v>352</v>
      </c>
    </row>
    <row r="466" spans="1:1" x14ac:dyDescent="0.3">
      <c r="A466" s="2" t="s">
        <v>353</v>
      </c>
    </row>
    <row r="467" spans="1:1" x14ac:dyDescent="0.3">
      <c r="A467" s="2" t="s">
        <v>344</v>
      </c>
    </row>
    <row r="468" spans="1:1" x14ac:dyDescent="0.3">
      <c r="A468" s="2" t="s">
        <v>345</v>
      </c>
    </row>
    <row r="469" spans="1:1" x14ac:dyDescent="0.3">
      <c r="A469" s="2" t="s">
        <v>544</v>
      </c>
    </row>
    <row r="470" spans="1:1" x14ac:dyDescent="0.3">
      <c r="A470" s="139" t="s">
        <v>227</v>
      </c>
    </row>
    <row r="471" spans="1:1" x14ac:dyDescent="0.3">
      <c r="A471" s="138" t="s">
        <v>576</v>
      </c>
    </row>
    <row r="472" spans="1:1" x14ac:dyDescent="0.3">
      <c r="A472" s="138" t="s">
        <v>577</v>
      </c>
    </row>
    <row r="473" spans="1:1" x14ac:dyDescent="0.3">
      <c r="A473" s="138" t="s">
        <v>578</v>
      </c>
    </row>
    <row r="474" spans="1:1" x14ac:dyDescent="0.3">
      <c r="A474" s="138" t="s">
        <v>554</v>
      </c>
    </row>
    <row r="475" spans="1:1" x14ac:dyDescent="0.3">
      <c r="A475" s="138" t="s">
        <v>560</v>
      </c>
    </row>
    <row r="476" spans="1:1" x14ac:dyDescent="0.3">
      <c r="A476" s="138" t="s">
        <v>579</v>
      </c>
    </row>
    <row r="477" spans="1:1" x14ac:dyDescent="0.3">
      <c r="A477" s="138" t="s">
        <v>580</v>
      </c>
    </row>
    <row r="478" spans="1:1" x14ac:dyDescent="0.3">
      <c r="A478" s="138" t="s">
        <v>570</v>
      </c>
    </row>
    <row r="479" spans="1:1" x14ac:dyDescent="0.3">
      <c r="A479" s="138" t="s">
        <v>571</v>
      </c>
    </row>
    <row r="480" spans="1:1" x14ac:dyDescent="0.3">
      <c r="A480" s="138" t="s">
        <v>572</v>
      </c>
    </row>
    <row r="481" spans="1:1" x14ac:dyDescent="0.3">
      <c r="A481" s="138" t="s">
        <v>574</v>
      </c>
    </row>
    <row r="482" spans="1:1" x14ac:dyDescent="0.3">
      <c r="A482" s="138" t="s">
        <v>575</v>
      </c>
    </row>
    <row r="483" spans="1:1" x14ac:dyDescent="0.3">
      <c r="A483" s="138" t="s">
        <v>556</v>
      </c>
    </row>
    <row r="484" spans="1:1" x14ac:dyDescent="0.3">
      <c r="A484" s="138" t="s">
        <v>558</v>
      </c>
    </row>
    <row r="485" spans="1:1" x14ac:dyDescent="0.3">
      <c r="A485" s="138" t="s">
        <v>566</v>
      </c>
    </row>
    <row r="486" spans="1:1" x14ac:dyDescent="0.3">
      <c r="A486" s="4" t="s">
        <v>193</v>
      </c>
    </row>
    <row r="487" spans="1:1" x14ac:dyDescent="0.3">
      <c r="A487" s="2" t="s">
        <v>194</v>
      </c>
    </row>
    <row r="488" spans="1:1" x14ac:dyDescent="0.3">
      <c r="A488" s="2" t="s">
        <v>195</v>
      </c>
    </row>
    <row r="489" spans="1:1" x14ac:dyDescent="0.3">
      <c r="A489" s="2" t="s">
        <v>196</v>
      </c>
    </row>
    <row r="490" spans="1:1" x14ac:dyDescent="0.3">
      <c r="A490" s="2" t="s">
        <v>197</v>
      </c>
    </row>
    <row r="491" spans="1:1" x14ac:dyDescent="0.3">
      <c r="A491" s="2" t="s">
        <v>198</v>
      </c>
    </row>
    <row r="492" spans="1:1" x14ac:dyDescent="0.3">
      <c r="A492" s="2" t="s">
        <v>199</v>
      </c>
    </row>
    <row r="493" spans="1:1" x14ac:dyDescent="0.3">
      <c r="A493" s="2" t="s">
        <v>200</v>
      </c>
    </row>
    <row r="494" spans="1:1" x14ac:dyDescent="0.3">
      <c r="A494" s="2" t="s">
        <v>169</v>
      </c>
    </row>
    <row r="495" spans="1:1" x14ac:dyDescent="0.3">
      <c r="A495" s="127" t="s">
        <v>494</v>
      </c>
    </row>
    <row r="496" spans="1:1" x14ac:dyDescent="0.3">
      <c r="A496" s="2" t="s">
        <v>182</v>
      </c>
    </row>
    <row r="497" spans="1:1" x14ac:dyDescent="0.3">
      <c r="A497" s="2" t="s">
        <v>183</v>
      </c>
    </row>
    <row r="498" spans="1:1" x14ac:dyDescent="0.3">
      <c r="A498" s="2" t="s">
        <v>184</v>
      </c>
    </row>
    <row r="499" spans="1:1" x14ac:dyDescent="0.3">
      <c r="A499" s="2" t="s">
        <v>185</v>
      </c>
    </row>
    <row r="500" spans="1:1" x14ac:dyDescent="0.3">
      <c r="A500" s="2" t="s">
        <v>186</v>
      </c>
    </row>
    <row r="501" spans="1:1" x14ac:dyDescent="0.3">
      <c r="A501" s="2" t="s">
        <v>187</v>
      </c>
    </row>
    <row r="502" spans="1:1" x14ac:dyDescent="0.3">
      <c r="A502" s="2" t="s">
        <v>188</v>
      </c>
    </row>
    <row r="503" spans="1:1" x14ac:dyDescent="0.3">
      <c r="A503" s="2" t="s">
        <v>338</v>
      </c>
    </row>
    <row r="504" spans="1:1" x14ac:dyDescent="0.3">
      <c r="A504" s="2" t="s">
        <v>337</v>
      </c>
    </row>
    <row r="505" spans="1:1" x14ac:dyDescent="0.3">
      <c r="A505" s="2" t="s">
        <v>316</v>
      </c>
    </row>
    <row r="506" spans="1:1" x14ac:dyDescent="0.3">
      <c r="A506" s="2" t="s">
        <v>317</v>
      </c>
    </row>
    <row r="507" spans="1:1" x14ac:dyDescent="0.3">
      <c r="A507" s="2" t="s">
        <v>473</v>
      </c>
    </row>
    <row r="508" spans="1:1" x14ac:dyDescent="0.3">
      <c r="A508" s="2" t="s">
        <v>387</v>
      </c>
    </row>
    <row r="509" spans="1:1" x14ac:dyDescent="0.3">
      <c r="A509" s="49" t="s">
        <v>470</v>
      </c>
    </row>
    <row r="510" spans="1:1" x14ac:dyDescent="0.3">
      <c r="A510" s="49" t="s">
        <v>471</v>
      </c>
    </row>
    <row r="511" spans="1:1" x14ac:dyDescent="0.3">
      <c r="A511" s="49" t="s">
        <v>527</v>
      </c>
    </row>
    <row r="512" spans="1:1" x14ac:dyDescent="0.3">
      <c r="A512" s="4" t="s">
        <v>495</v>
      </c>
    </row>
    <row r="513" spans="1:1" x14ac:dyDescent="0.3">
      <c r="A513" s="2" t="s">
        <v>347</v>
      </c>
    </row>
    <row r="514" spans="1:1" x14ac:dyDescent="0.3">
      <c r="A514" s="2" t="s">
        <v>348</v>
      </c>
    </row>
    <row r="515" spans="1:1" x14ac:dyDescent="0.3">
      <c r="A515" s="2" t="s">
        <v>349</v>
      </c>
    </row>
    <row r="516" spans="1:1" x14ac:dyDescent="0.3">
      <c r="A516" s="2" t="s">
        <v>350</v>
      </c>
    </row>
    <row r="517" spans="1:1" x14ac:dyDescent="0.3">
      <c r="A517" s="2" t="s">
        <v>346</v>
      </c>
    </row>
    <row r="518" spans="1:1" x14ac:dyDescent="0.3">
      <c r="A518" s="4" t="s">
        <v>13</v>
      </c>
    </row>
    <row r="519" spans="1:1" x14ac:dyDescent="0.3">
      <c r="A519" s="2" t="s">
        <v>201</v>
      </c>
    </row>
    <row r="520" spans="1:1" x14ac:dyDescent="0.3">
      <c r="A520" s="2" t="s">
        <v>202</v>
      </c>
    </row>
    <row r="521" spans="1:1" x14ac:dyDescent="0.3">
      <c r="A521" s="2" t="s">
        <v>203</v>
      </c>
    </row>
    <row r="522" spans="1:1" x14ac:dyDescent="0.3">
      <c r="A522" s="2" t="s">
        <v>204</v>
      </c>
    </row>
    <row r="523" spans="1:1" x14ac:dyDescent="0.3">
      <c r="A523" s="2" t="s">
        <v>205</v>
      </c>
    </row>
    <row r="524" spans="1:1" x14ac:dyDescent="0.3">
      <c r="A524" s="2" t="s">
        <v>206</v>
      </c>
    </row>
    <row r="525" spans="1:1" x14ac:dyDescent="0.3">
      <c r="A525" s="2" t="s">
        <v>86</v>
      </c>
    </row>
    <row r="526" spans="1:1" x14ac:dyDescent="0.3">
      <c r="A526" s="2" t="s">
        <v>207</v>
      </c>
    </row>
    <row r="527" spans="1:1" x14ac:dyDescent="0.3">
      <c r="A527" s="2" t="s">
        <v>87</v>
      </c>
    </row>
    <row r="528" spans="1:1" x14ac:dyDescent="0.3">
      <c r="A528" s="2" t="s">
        <v>84</v>
      </c>
    </row>
    <row r="529" spans="1:1" x14ac:dyDescent="0.3">
      <c r="A529" s="2" t="s">
        <v>208</v>
      </c>
    </row>
    <row r="530" spans="1:1" x14ac:dyDescent="0.3">
      <c r="A530" s="2" t="s">
        <v>85</v>
      </c>
    </row>
    <row r="531" spans="1:1" x14ac:dyDescent="0.3">
      <c r="A531" s="2" t="s">
        <v>209</v>
      </c>
    </row>
    <row r="532" spans="1:1" x14ac:dyDescent="0.3">
      <c r="A532" s="2" t="s">
        <v>210</v>
      </c>
    </row>
    <row r="533" spans="1:1" x14ac:dyDescent="0.3">
      <c r="A533" s="2" t="s">
        <v>315</v>
      </c>
    </row>
    <row r="534" spans="1:1" x14ac:dyDescent="0.3">
      <c r="A534" s="2" t="s">
        <v>386</v>
      </c>
    </row>
    <row r="535" spans="1:1" x14ac:dyDescent="0.3">
      <c r="A535" s="2" t="s">
        <v>388</v>
      </c>
    </row>
    <row r="536" spans="1:1" x14ac:dyDescent="0.3">
      <c r="A536" s="2" t="s">
        <v>389</v>
      </c>
    </row>
  </sheetData>
  <mergeCells count="10">
    <mergeCell ref="B42:F42"/>
    <mergeCell ref="B53:F53"/>
    <mergeCell ref="B65:F65"/>
    <mergeCell ref="J144:K144"/>
    <mergeCell ref="H144:I144"/>
    <mergeCell ref="B127:C127"/>
    <mergeCell ref="D127:E127"/>
    <mergeCell ref="B144:C144"/>
    <mergeCell ref="D144:E144"/>
    <mergeCell ref="F144:G144"/>
  </mergeCells>
  <pageMargins left="0.7" right="0.7" top="0.75" bottom="0.75" header="0.3" footer="0.3"/>
  <pageSetup paperSize="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1DC5-F886-4282-B360-E7B13A909E44}">
  <dimension ref="A1:AJ125"/>
  <sheetViews>
    <sheetView tabSelected="1" workbookViewId="0">
      <selection activeCell="B22" sqref="B22"/>
    </sheetView>
  </sheetViews>
  <sheetFormatPr defaultRowHeight="14.4" x14ac:dyDescent="0.3"/>
  <cols>
    <col min="1" max="1" width="11.77734375" customWidth="1"/>
    <col min="7" max="7" width="12.109375" customWidth="1"/>
    <col min="8" max="8" width="12.5546875" customWidth="1"/>
    <col min="9" max="9" width="12.109375" customWidth="1"/>
    <col min="10" max="10" width="14.44140625" customWidth="1"/>
    <col min="12" max="12" width="12.5546875" customWidth="1"/>
    <col min="13" max="13" width="12.44140625" customWidth="1"/>
    <col min="14" max="14" width="15.6640625" customWidth="1"/>
  </cols>
  <sheetData>
    <row r="1" spans="1:36" x14ac:dyDescent="0.3">
      <c r="A1" s="54" t="s">
        <v>400</v>
      </c>
      <c r="B1" s="54"/>
      <c r="C1" s="54"/>
      <c r="D1" s="54"/>
      <c r="E1" s="54"/>
      <c r="F1" s="54"/>
      <c r="G1" s="54"/>
      <c r="H1" s="54"/>
      <c r="I1" s="54"/>
      <c r="J1" s="54"/>
      <c r="K1" s="54"/>
      <c r="L1" s="54"/>
      <c r="M1" s="54" t="s">
        <v>460</v>
      </c>
      <c r="N1" s="54" t="s">
        <v>461</v>
      </c>
      <c r="O1" s="54" t="s">
        <v>466</v>
      </c>
      <c r="P1" s="54" t="s">
        <v>467</v>
      </c>
      <c r="Q1" s="54" t="s">
        <v>468</v>
      </c>
      <c r="R1" s="54" t="s">
        <v>469</v>
      </c>
      <c r="S1" s="54"/>
      <c r="T1" s="54"/>
      <c r="U1" s="54"/>
      <c r="V1" s="54"/>
      <c r="W1" s="54"/>
      <c r="X1" s="54"/>
      <c r="Y1" s="54"/>
      <c r="Z1" s="54"/>
      <c r="AA1" s="54"/>
      <c r="AB1" s="54"/>
      <c r="AC1" s="54"/>
      <c r="AD1" s="54"/>
      <c r="AE1" s="54"/>
      <c r="AF1" s="54"/>
      <c r="AG1" s="54"/>
      <c r="AH1" s="54"/>
      <c r="AI1" s="54"/>
      <c r="AJ1" s="54"/>
    </row>
    <row r="2" spans="1:36" x14ac:dyDescent="0.3">
      <c r="A2" s="55" t="s">
        <v>329</v>
      </c>
      <c r="B2" s="56" t="s">
        <v>401</v>
      </c>
      <c r="C2" s="56" t="s">
        <v>402</v>
      </c>
      <c r="D2" s="56" t="s">
        <v>403</v>
      </c>
      <c r="E2" s="56" t="s">
        <v>404</v>
      </c>
      <c r="F2" s="56" t="s">
        <v>405</v>
      </c>
      <c r="G2" s="56" t="s">
        <v>406</v>
      </c>
      <c r="H2" s="56" t="s">
        <v>407</v>
      </c>
      <c r="I2" s="56" t="s">
        <v>408</v>
      </c>
      <c r="J2" s="56" t="s">
        <v>409</v>
      </c>
      <c r="M2" s="56"/>
      <c r="N2" s="56"/>
    </row>
    <row r="3" spans="1:36" x14ac:dyDescent="0.3">
      <c r="A3" s="2" t="s">
        <v>836</v>
      </c>
      <c r="B3" s="57">
        <v>26.75</v>
      </c>
      <c r="C3" s="58">
        <f t="shared" ref="C3:C9" si="0">B3*0.062</f>
        <v>1.6585000000000001</v>
      </c>
      <c r="D3" s="58">
        <f t="shared" ref="D3:D9" si="1">B3*0.0145</f>
        <v>0.38787500000000003</v>
      </c>
      <c r="E3" s="58">
        <f t="shared" ref="E3:E9" si="2">B3*0.008</f>
        <v>0.214</v>
      </c>
      <c r="F3" s="58">
        <f t="shared" ref="F3:F9" si="3">B3*0.0295</f>
        <v>0.78912499999999997</v>
      </c>
      <c r="G3" s="59">
        <f t="shared" ref="G3:G9" si="4">SUM(B3:F3)</f>
        <v>29.799499999999998</v>
      </c>
      <c r="H3" s="60">
        <f>G3*8</f>
        <v>238.39599999999999</v>
      </c>
      <c r="I3" s="61">
        <f t="shared" ref="I3:I9" si="5">G3*40</f>
        <v>1191.98</v>
      </c>
      <c r="J3" s="61">
        <f t="shared" ref="J3:J9" si="6">I3*52/12</f>
        <v>5165.2466666666669</v>
      </c>
      <c r="M3" s="61">
        <f>J8/163</f>
        <v>44.423312883435585</v>
      </c>
      <c r="N3" s="61">
        <f>J8/102</f>
        <v>70.990196078431381</v>
      </c>
      <c r="O3" s="61">
        <f>H8/5</f>
        <v>66.84</v>
      </c>
      <c r="P3" s="61">
        <f>H8/6</f>
        <v>55.70000000000001</v>
      </c>
      <c r="Q3" s="61">
        <f>H8/7</f>
        <v>47.742857142857147</v>
      </c>
      <c r="R3" s="61">
        <f>H8/8</f>
        <v>41.775000000000006</v>
      </c>
    </row>
    <row r="4" spans="1:36" x14ac:dyDescent="0.3">
      <c r="A4" s="2" t="s">
        <v>837</v>
      </c>
      <c r="B4" s="57">
        <v>25.75</v>
      </c>
      <c r="C4" s="58">
        <f t="shared" si="0"/>
        <v>1.5965</v>
      </c>
      <c r="D4" s="58">
        <f t="shared" si="1"/>
        <v>0.37337500000000001</v>
      </c>
      <c r="E4" s="58">
        <f t="shared" si="2"/>
        <v>0.20600000000000002</v>
      </c>
      <c r="F4" s="58">
        <f t="shared" si="3"/>
        <v>0.75962499999999999</v>
      </c>
      <c r="G4" s="59">
        <f t="shared" si="4"/>
        <v>28.685499999999998</v>
      </c>
      <c r="H4" s="60">
        <f t="shared" ref="H4:H9" si="7">G4*8</f>
        <v>229.48399999999998</v>
      </c>
      <c r="I4" s="61">
        <f t="shared" si="5"/>
        <v>1147.4199999999998</v>
      </c>
      <c r="J4" s="61">
        <f t="shared" si="6"/>
        <v>4972.1533333333327</v>
      </c>
    </row>
    <row r="5" spans="1:36" x14ac:dyDescent="0.3">
      <c r="A5" s="2" t="s">
        <v>848</v>
      </c>
      <c r="B5" s="62">
        <v>19.75</v>
      </c>
      <c r="C5" s="58">
        <f t="shared" si="0"/>
        <v>1.2244999999999999</v>
      </c>
      <c r="D5" s="58">
        <f t="shared" si="1"/>
        <v>0.28637499999999999</v>
      </c>
      <c r="E5" s="58">
        <f t="shared" si="2"/>
        <v>0.158</v>
      </c>
      <c r="F5" s="58">
        <f t="shared" si="3"/>
        <v>0.58262499999999995</v>
      </c>
      <c r="G5" s="63">
        <f t="shared" si="4"/>
        <v>22.0015</v>
      </c>
      <c r="H5" s="60">
        <f t="shared" si="7"/>
        <v>176.012</v>
      </c>
      <c r="I5" s="61">
        <f t="shared" si="5"/>
        <v>880.06</v>
      </c>
      <c r="J5" s="61">
        <f t="shared" si="6"/>
        <v>3813.5933333333328</v>
      </c>
      <c r="Q5" s="61"/>
      <c r="R5" s="61"/>
      <c r="S5" s="61"/>
      <c r="T5" s="61"/>
    </row>
    <row r="6" spans="1:36" x14ac:dyDescent="0.3">
      <c r="A6" s="2" t="s">
        <v>838</v>
      </c>
      <c r="B6" s="62">
        <v>25.75</v>
      </c>
      <c r="C6" s="58">
        <f t="shared" si="0"/>
        <v>1.5965</v>
      </c>
      <c r="D6" s="58">
        <f t="shared" si="1"/>
        <v>0.37337500000000001</v>
      </c>
      <c r="E6" s="58">
        <f t="shared" si="2"/>
        <v>0.20600000000000002</v>
      </c>
      <c r="F6" s="58">
        <f t="shared" si="3"/>
        <v>0.75962499999999999</v>
      </c>
      <c r="G6" s="63">
        <f t="shared" si="4"/>
        <v>28.685499999999998</v>
      </c>
      <c r="H6" s="60">
        <f t="shared" si="7"/>
        <v>229.48399999999998</v>
      </c>
      <c r="I6" s="61">
        <f t="shared" si="5"/>
        <v>1147.4199999999998</v>
      </c>
      <c r="J6" s="61">
        <f t="shared" si="6"/>
        <v>4972.1533333333327</v>
      </c>
      <c r="K6" s="64"/>
      <c r="L6" s="61"/>
    </row>
    <row r="7" spans="1:36" x14ac:dyDescent="0.3">
      <c r="A7" s="2" t="s">
        <v>847</v>
      </c>
      <c r="B7" s="62">
        <v>23.75</v>
      </c>
      <c r="C7" s="58">
        <f t="shared" si="0"/>
        <v>1.4724999999999999</v>
      </c>
      <c r="D7" s="58">
        <f t="shared" si="1"/>
        <v>0.34437500000000004</v>
      </c>
      <c r="E7" s="58">
        <f t="shared" si="2"/>
        <v>0.19</v>
      </c>
      <c r="F7" s="58">
        <f t="shared" si="3"/>
        <v>0.70062499999999994</v>
      </c>
      <c r="G7" s="63">
        <f t="shared" si="4"/>
        <v>26.4575</v>
      </c>
      <c r="H7" s="60">
        <f t="shared" si="7"/>
        <v>211.66</v>
      </c>
      <c r="I7" s="61">
        <f t="shared" si="5"/>
        <v>1058.3</v>
      </c>
      <c r="J7" s="61">
        <f t="shared" si="6"/>
        <v>4585.9666666666662</v>
      </c>
      <c r="K7" s="64"/>
      <c r="L7" s="61"/>
    </row>
    <row r="8" spans="1:36" x14ac:dyDescent="0.3">
      <c r="A8" s="2" t="s">
        <v>839</v>
      </c>
      <c r="B8" s="62">
        <v>37.5</v>
      </c>
      <c r="C8" s="58">
        <f>B8*0.062</f>
        <v>2.3250000000000002</v>
      </c>
      <c r="D8" s="58">
        <f>B8*0.0145</f>
        <v>0.54375000000000007</v>
      </c>
      <c r="E8" s="58">
        <f>B8*0.008</f>
        <v>0.3</v>
      </c>
      <c r="F8" s="58">
        <f>B8*0.0295</f>
        <v>1.10625</v>
      </c>
      <c r="G8" s="63">
        <f>SUM(B8:F8)</f>
        <v>41.775000000000006</v>
      </c>
      <c r="H8" s="60">
        <f>G8*8</f>
        <v>334.20000000000005</v>
      </c>
      <c r="I8" s="61">
        <f>G8*40</f>
        <v>1671.0000000000002</v>
      </c>
      <c r="J8" s="61">
        <f>I8*52/12</f>
        <v>7241.0000000000009</v>
      </c>
      <c r="K8" s="64"/>
      <c r="L8" s="61"/>
    </row>
    <row r="9" spans="1:36" x14ac:dyDescent="0.3">
      <c r="A9" s="2" t="s">
        <v>850</v>
      </c>
      <c r="B9" s="62">
        <v>15.75</v>
      </c>
      <c r="C9" s="58">
        <f t="shared" si="0"/>
        <v>0.97650000000000003</v>
      </c>
      <c r="D9" s="58">
        <f t="shared" si="1"/>
        <v>0.22837500000000002</v>
      </c>
      <c r="E9" s="58">
        <f t="shared" si="2"/>
        <v>0.126</v>
      </c>
      <c r="F9" s="58">
        <f t="shared" si="3"/>
        <v>0.46462499999999995</v>
      </c>
      <c r="G9" s="63">
        <f t="shared" si="4"/>
        <v>17.545500000000004</v>
      </c>
      <c r="H9" s="60">
        <f t="shared" si="7"/>
        <v>140.36400000000003</v>
      </c>
      <c r="I9" s="61">
        <f t="shared" si="5"/>
        <v>701.82000000000016</v>
      </c>
      <c r="J9" s="61">
        <f t="shared" si="6"/>
        <v>3041.2200000000007</v>
      </c>
      <c r="K9" s="64"/>
      <c r="L9" s="61"/>
    </row>
    <row r="10" spans="1:36" x14ac:dyDescent="0.3">
      <c r="A10" s="54"/>
      <c r="B10" s="54"/>
      <c r="C10" s="54"/>
      <c r="D10" s="54"/>
      <c r="E10" s="54"/>
      <c r="F10" s="54"/>
      <c r="G10" s="54"/>
      <c r="H10" s="54"/>
      <c r="I10" s="54"/>
      <c r="J10" s="65">
        <f>SUM(J3:J9)</f>
        <v>33791.333333333328</v>
      </c>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row>
    <row r="11" spans="1:36" x14ac:dyDescent="0.3">
      <c r="Q11" s="66"/>
    </row>
    <row r="12" spans="1:36" x14ac:dyDescent="0.3">
      <c r="A12" s="67" t="s">
        <v>410</v>
      </c>
      <c r="B12" s="67"/>
      <c r="C12" s="67"/>
      <c r="D12" s="67"/>
      <c r="E12" s="67"/>
      <c r="F12" s="67"/>
      <c r="G12" s="67"/>
      <c r="H12" s="67" t="s">
        <v>407</v>
      </c>
      <c r="I12" s="67" t="s">
        <v>408</v>
      </c>
      <c r="J12" s="67" t="s">
        <v>409</v>
      </c>
      <c r="K12" s="67" t="s">
        <v>163</v>
      </c>
      <c r="L12" s="67" t="s">
        <v>164</v>
      </c>
      <c r="M12" s="67" t="s">
        <v>462</v>
      </c>
      <c r="N12" s="67" t="s">
        <v>463</v>
      </c>
      <c r="O12" s="67" t="s">
        <v>466</v>
      </c>
      <c r="P12" s="67" t="s">
        <v>467</v>
      </c>
      <c r="Q12" s="67" t="s">
        <v>468</v>
      </c>
      <c r="R12" s="67" t="s">
        <v>469</v>
      </c>
      <c r="S12" s="67"/>
      <c r="T12" s="67"/>
      <c r="U12" s="67"/>
      <c r="V12" s="67"/>
      <c r="W12" s="67"/>
      <c r="X12" s="67"/>
      <c r="Y12" s="67"/>
      <c r="Z12" s="67"/>
      <c r="AA12" s="67"/>
      <c r="AB12" s="67"/>
      <c r="AC12" s="67"/>
      <c r="AD12" s="67"/>
      <c r="AE12" s="67"/>
      <c r="AF12" s="67"/>
      <c r="AG12" s="67"/>
      <c r="AH12" s="67"/>
      <c r="AI12" s="67"/>
      <c r="AJ12" s="67"/>
    </row>
    <row r="13" spans="1:36" x14ac:dyDescent="0.3">
      <c r="A13" t="s">
        <v>411</v>
      </c>
      <c r="H13" s="68">
        <f>J13/21.7</f>
        <v>20.737327188940093</v>
      </c>
      <c r="I13" s="68">
        <f>J13/4.3</f>
        <v>104.65116279069768</v>
      </c>
      <c r="J13" s="69">
        <v>450</v>
      </c>
      <c r="K13">
        <v>7</v>
      </c>
      <c r="L13" s="131">
        <f>J13*K13</f>
        <v>3150</v>
      </c>
    </row>
    <row r="14" spans="1:36" x14ac:dyDescent="0.3">
      <c r="A14" t="s">
        <v>412</v>
      </c>
      <c r="H14" s="68">
        <f>J14/21.7</f>
        <v>13.59447004608295</v>
      </c>
      <c r="I14" s="68">
        <f>J14/4.3</f>
        <v>68.604651162790702</v>
      </c>
      <c r="J14" s="69">
        <v>295</v>
      </c>
      <c r="K14">
        <v>7</v>
      </c>
      <c r="L14" s="131">
        <f>J14*K14</f>
        <v>2065</v>
      </c>
      <c r="M14" s="69">
        <f>J17/163</f>
        <v>8.7116564417177909</v>
      </c>
      <c r="N14" s="69">
        <f>J17/102</f>
        <v>13.921568627450981</v>
      </c>
      <c r="O14" s="68">
        <f>H17/5</f>
        <v>13.087557603686637</v>
      </c>
      <c r="P14" s="68">
        <f>H17/6</f>
        <v>10.906298003072196</v>
      </c>
      <c r="Q14" s="68">
        <f>H17/7</f>
        <v>9.3482554312047395</v>
      </c>
      <c r="R14" s="68">
        <f>H17/8</f>
        <v>8.1797235023041477</v>
      </c>
    </row>
    <row r="15" spans="1:36" x14ac:dyDescent="0.3">
      <c r="A15" t="s">
        <v>413</v>
      </c>
      <c r="H15" s="68">
        <f>J15/21.7</f>
        <v>25.345622119815669</v>
      </c>
      <c r="I15" s="68">
        <f>J15/4.3</f>
        <v>127.90697674418605</v>
      </c>
      <c r="J15" s="69">
        <v>550</v>
      </c>
      <c r="K15">
        <v>7</v>
      </c>
      <c r="L15" s="131">
        <f>J15*K15</f>
        <v>3850</v>
      </c>
    </row>
    <row r="16" spans="1:36" x14ac:dyDescent="0.3">
      <c r="A16" t="s">
        <v>414</v>
      </c>
      <c r="H16" s="68">
        <f>J16/21.7</f>
        <v>5.7603686635944706</v>
      </c>
      <c r="I16" s="68">
        <f>J16/4.3</f>
        <v>29.069767441860467</v>
      </c>
      <c r="J16" s="69">
        <v>125</v>
      </c>
      <c r="K16">
        <v>7</v>
      </c>
      <c r="L16" s="131">
        <f>J16*K16</f>
        <v>875</v>
      </c>
    </row>
    <row r="17" spans="1:36" x14ac:dyDescent="0.3">
      <c r="A17" s="67" t="s">
        <v>415</v>
      </c>
      <c r="B17" s="67"/>
      <c r="C17" s="67"/>
      <c r="D17" s="67"/>
      <c r="E17" s="67"/>
      <c r="F17" s="67"/>
      <c r="G17" s="67"/>
      <c r="H17" s="70">
        <f>J17/21.7</f>
        <v>65.437788018433181</v>
      </c>
      <c r="I17" s="70">
        <f>J17/4.3</f>
        <v>330.23255813953489</v>
      </c>
      <c r="J17" s="71">
        <f>SUM(J13:J16)</f>
        <v>1420</v>
      </c>
      <c r="K17" s="67">
        <v>7</v>
      </c>
      <c r="L17" s="71">
        <f>J17*K17</f>
        <v>9940</v>
      </c>
      <c r="M17" s="67"/>
      <c r="N17" s="67"/>
      <c r="O17" s="67"/>
      <c r="P17" s="67"/>
      <c r="Q17" s="67"/>
      <c r="R17" s="67"/>
      <c r="S17" s="67"/>
      <c r="T17" s="67"/>
      <c r="U17" s="67"/>
      <c r="V17" s="67"/>
      <c r="W17" s="67"/>
      <c r="X17" s="67"/>
      <c r="Y17" s="67"/>
      <c r="Z17" s="67"/>
      <c r="AA17" s="67"/>
      <c r="AB17" s="67"/>
      <c r="AC17" s="67"/>
      <c r="AD17" s="67"/>
      <c r="AE17" s="67"/>
      <c r="AF17" s="67"/>
      <c r="AG17" s="67"/>
      <c r="AH17" s="67"/>
      <c r="AI17" s="67"/>
      <c r="AJ17" s="67"/>
    </row>
    <row r="19" spans="1:36" x14ac:dyDescent="0.3">
      <c r="A19" s="72" t="s">
        <v>416</v>
      </c>
      <c r="B19" s="72"/>
      <c r="C19" s="72"/>
      <c r="D19" s="72"/>
      <c r="E19" s="72"/>
      <c r="F19" s="72"/>
      <c r="G19" s="72"/>
      <c r="H19" s="72"/>
      <c r="I19" s="72"/>
      <c r="J19" s="72"/>
      <c r="K19" s="72"/>
      <c r="L19" s="72"/>
      <c r="M19" s="72" t="s">
        <v>465</v>
      </c>
      <c r="N19" s="72" t="s">
        <v>464</v>
      </c>
      <c r="O19" s="72"/>
      <c r="P19" s="72"/>
      <c r="Q19" s="72"/>
      <c r="R19" s="72"/>
      <c r="S19" s="72"/>
      <c r="T19" s="72"/>
      <c r="U19" s="72"/>
      <c r="V19" s="72"/>
      <c r="W19" s="72"/>
      <c r="X19" s="72"/>
      <c r="Y19" s="72"/>
      <c r="Z19" s="72"/>
      <c r="AA19" s="72"/>
      <c r="AB19" s="72"/>
      <c r="AC19" s="72"/>
      <c r="AD19" s="72"/>
      <c r="AE19" s="72"/>
      <c r="AF19" s="72"/>
      <c r="AG19" s="72"/>
      <c r="AH19" s="72"/>
      <c r="AI19" s="72"/>
      <c r="AJ19" s="72"/>
    </row>
    <row r="20" spans="1:36" x14ac:dyDescent="0.3">
      <c r="A20" s="55" t="s">
        <v>329</v>
      </c>
      <c r="B20" s="56" t="s">
        <v>401</v>
      </c>
      <c r="C20" s="56" t="s">
        <v>402</v>
      </c>
      <c r="D20" s="56" t="s">
        <v>403</v>
      </c>
      <c r="E20" s="56" t="s">
        <v>404</v>
      </c>
      <c r="F20" s="56" t="s">
        <v>405</v>
      </c>
      <c r="G20" s="56" t="s">
        <v>406</v>
      </c>
      <c r="H20" s="56" t="s">
        <v>407</v>
      </c>
      <c r="I20" s="56" t="s">
        <v>408</v>
      </c>
      <c r="J20" s="56" t="s">
        <v>409</v>
      </c>
      <c r="Q20" s="81"/>
      <c r="R20" s="81"/>
      <c r="S20" s="81"/>
      <c r="T20" s="81"/>
      <c r="U20" s="81"/>
    </row>
    <row r="21" spans="1:36" x14ac:dyDescent="0.3">
      <c r="A21" s="2" t="s">
        <v>849</v>
      </c>
      <c r="B21" s="73">
        <v>23.25</v>
      </c>
      <c r="C21" s="58">
        <f t="shared" ref="C21:C28" si="8">B21*0.062</f>
        <v>1.4415</v>
      </c>
      <c r="D21" s="58">
        <f t="shared" ref="D21:D28" si="9">B21*0.0145</f>
        <v>0.33712500000000001</v>
      </c>
      <c r="E21" s="58">
        <f t="shared" ref="E21:E28" si="10">B21*0.008</f>
        <v>0.186</v>
      </c>
      <c r="F21" s="58">
        <f t="shared" ref="F21:F28" si="11">B21*0.0295</f>
        <v>0.68587500000000001</v>
      </c>
      <c r="G21" s="74">
        <f t="shared" ref="G21:G28" si="12">SUM(B21:F21)</f>
        <v>25.900500000000001</v>
      </c>
      <c r="H21" s="75">
        <f>G21*8</f>
        <v>207.20400000000001</v>
      </c>
      <c r="I21" s="61">
        <f>G21*40</f>
        <v>1036.02</v>
      </c>
      <c r="J21" s="61">
        <f t="shared" ref="J21:J28" si="13">I21*52/12</f>
        <v>4489.42</v>
      </c>
      <c r="L21" t="s">
        <v>417</v>
      </c>
      <c r="M21" s="61">
        <f>J44/163</f>
        <v>283.84332474437628</v>
      </c>
      <c r="N21" s="61">
        <f>J44/102</f>
        <v>453.59276405228758</v>
      </c>
      <c r="Q21" s="81"/>
      <c r="R21" s="81"/>
      <c r="S21" s="81"/>
      <c r="T21" s="81"/>
      <c r="U21" s="81"/>
    </row>
    <row r="22" spans="1:36" x14ac:dyDescent="0.3">
      <c r="A22" s="2" t="s">
        <v>840</v>
      </c>
      <c r="B22" s="73">
        <v>40</v>
      </c>
      <c r="C22" s="58">
        <f t="shared" si="8"/>
        <v>2.48</v>
      </c>
      <c r="D22" s="58">
        <f t="shared" si="9"/>
        <v>0.58000000000000007</v>
      </c>
      <c r="E22" s="58">
        <f t="shared" si="10"/>
        <v>0.32</v>
      </c>
      <c r="F22" s="58">
        <f t="shared" si="11"/>
        <v>1.18</v>
      </c>
      <c r="G22" s="74">
        <f t="shared" si="12"/>
        <v>44.559999999999995</v>
      </c>
      <c r="H22" s="75">
        <f>G22*8</f>
        <v>356.47999999999996</v>
      </c>
      <c r="I22" s="61">
        <f>G22*40</f>
        <v>1782.3999999999999</v>
      </c>
      <c r="J22" s="61">
        <f t="shared" si="13"/>
        <v>7723.7333333333327</v>
      </c>
      <c r="L22" t="s">
        <v>418</v>
      </c>
      <c r="M22" s="61">
        <f>J44/326</f>
        <v>141.92166237218814</v>
      </c>
      <c r="N22" s="61">
        <f>J44/204</f>
        <v>226.79638202614379</v>
      </c>
      <c r="Q22" s="81"/>
      <c r="R22" s="82"/>
      <c r="S22" s="82"/>
      <c r="T22" s="82"/>
      <c r="U22" s="82"/>
    </row>
    <row r="23" spans="1:36" x14ac:dyDescent="0.3">
      <c r="A23" s="2" t="s">
        <v>841</v>
      </c>
      <c r="B23" s="73">
        <v>42</v>
      </c>
      <c r="C23" s="58">
        <f t="shared" si="8"/>
        <v>2.6040000000000001</v>
      </c>
      <c r="D23" s="58">
        <f t="shared" si="9"/>
        <v>0.60899999999999999</v>
      </c>
      <c r="E23" s="58">
        <f t="shared" si="10"/>
        <v>0.33600000000000002</v>
      </c>
      <c r="F23" s="58">
        <f t="shared" si="11"/>
        <v>1.2389999999999999</v>
      </c>
      <c r="G23" s="74">
        <f t="shared" si="12"/>
        <v>46.787999999999997</v>
      </c>
      <c r="H23" s="75">
        <f>G23*8</f>
        <v>374.30399999999997</v>
      </c>
      <c r="I23" s="61">
        <f>G23*40</f>
        <v>1871.52</v>
      </c>
      <c r="J23" s="61">
        <f t="shared" si="13"/>
        <v>8109.9199999999992</v>
      </c>
      <c r="L23" t="s">
        <v>419</v>
      </c>
      <c r="M23" s="61">
        <f>J44/489</f>
        <v>94.614441581458763</v>
      </c>
      <c r="N23" s="61">
        <f>J44/306</f>
        <v>151.19758801742918</v>
      </c>
      <c r="Q23" s="81"/>
      <c r="R23" s="82"/>
      <c r="S23" s="82"/>
      <c r="T23" s="82"/>
      <c r="U23" s="82"/>
    </row>
    <row r="24" spans="1:36" x14ac:dyDescent="0.3">
      <c r="A24" s="2" t="s">
        <v>842</v>
      </c>
      <c r="B24" s="73">
        <v>33.659999999999997</v>
      </c>
      <c r="C24" s="58">
        <f t="shared" si="8"/>
        <v>2.0869199999999997</v>
      </c>
      <c r="D24" s="58">
        <f t="shared" si="9"/>
        <v>0.48806999999999995</v>
      </c>
      <c r="E24" s="58">
        <f t="shared" si="10"/>
        <v>0.26927999999999996</v>
      </c>
      <c r="F24" s="58">
        <f t="shared" si="11"/>
        <v>0.9929699999999998</v>
      </c>
      <c r="G24" s="74">
        <f t="shared" si="12"/>
        <v>37.497239999999998</v>
      </c>
      <c r="H24" s="75">
        <f>G24*8</f>
        <v>299.97791999999998</v>
      </c>
      <c r="I24" s="61">
        <f>G24*40</f>
        <v>1499.8896</v>
      </c>
      <c r="J24" s="61">
        <f t="shared" si="13"/>
        <v>6499.5216</v>
      </c>
      <c r="L24" t="s">
        <v>420</v>
      </c>
      <c r="M24" s="61">
        <f>J44/652</f>
        <v>70.960831186094069</v>
      </c>
      <c r="N24" s="61">
        <f>J44/408</f>
        <v>113.39819101307189</v>
      </c>
      <c r="Q24" s="81"/>
      <c r="R24" s="82"/>
      <c r="S24" s="82"/>
      <c r="T24" s="82"/>
      <c r="U24" s="82"/>
    </row>
    <row r="25" spans="1:36" x14ac:dyDescent="0.3">
      <c r="A25" s="2" t="s">
        <v>843</v>
      </c>
      <c r="B25" s="73">
        <v>15.75</v>
      </c>
      <c r="C25" s="58">
        <f t="shared" si="8"/>
        <v>0.97650000000000003</v>
      </c>
      <c r="D25" s="58">
        <f t="shared" si="9"/>
        <v>0.22837500000000002</v>
      </c>
      <c r="E25" s="58">
        <f t="shared" si="10"/>
        <v>0.126</v>
      </c>
      <c r="F25" s="58">
        <f t="shared" si="11"/>
        <v>0.46462499999999995</v>
      </c>
      <c r="G25" s="74">
        <f t="shared" si="12"/>
        <v>17.545500000000004</v>
      </c>
      <c r="H25" s="75">
        <f>G25*8</f>
        <v>140.36400000000003</v>
      </c>
      <c r="I25" s="61">
        <f>G25*40</f>
        <v>701.82000000000016</v>
      </c>
      <c r="J25" s="61">
        <f t="shared" si="13"/>
        <v>3041.2200000000007</v>
      </c>
      <c r="L25" t="s">
        <v>421</v>
      </c>
      <c r="M25" s="61">
        <f>J44/815</f>
        <v>56.768664948875255</v>
      </c>
      <c r="N25" s="61">
        <f>J44/510</f>
        <v>90.71855281045751</v>
      </c>
      <c r="Q25" s="81"/>
      <c r="R25" s="82"/>
      <c r="S25" s="82"/>
      <c r="T25" s="82"/>
      <c r="U25" s="82"/>
    </row>
    <row r="26" spans="1:36" x14ac:dyDescent="0.3">
      <c r="A26" s="2" t="s">
        <v>844</v>
      </c>
      <c r="B26" s="73">
        <v>12.75</v>
      </c>
      <c r="C26" s="58">
        <f t="shared" si="8"/>
        <v>0.79049999999999998</v>
      </c>
      <c r="D26" s="58">
        <f t="shared" si="9"/>
        <v>0.18487500000000001</v>
      </c>
      <c r="E26" s="58">
        <f t="shared" si="10"/>
        <v>0.10200000000000001</v>
      </c>
      <c r="F26" s="58">
        <f t="shared" si="11"/>
        <v>0.37612499999999999</v>
      </c>
      <c r="G26" s="74">
        <f t="shared" si="12"/>
        <v>14.2035</v>
      </c>
      <c r="H26" s="75">
        <f>J26/21.7</f>
        <v>45.381382488479261</v>
      </c>
      <c r="I26" s="61">
        <f>G26*16</f>
        <v>227.256</v>
      </c>
      <c r="J26" s="61">
        <f t="shared" si="13"/>
        <v>984.77599999999995</v>
      </c>
      <c r="L26" t="s">
        <v>422</v>
      </c>
      <c r="M26" s="61">
        <f>J44/1040</f>
        <v>44.486982628205126</v>
      </c>
      <c r="N26" s="61">
        <f>J44/650</f>
        <v>71.179172205128197</v>
      </c>
      <c r="Q26" s="81"/>
      <c r="R26" s="82"/>
      <c r="S26" s="82"/>
      <c r="T26" s="82"/>
      <c r="U26" s="82"/>
    </row>
    <row r="27" spans="1:36" x14ac:dyDescent="0.3">
      <c r="A27" s="2" t="s">
        <v>844</v>
      </c>
      <c r="B27" s="73">
        <v>12.75</v>
      </c>
      <c r="C27" s="58">
        <f t="shared" si="8"/>
        <v>0.79049999999999998</v>
      </c>
      <c r="D27" s="58">
        <f t="shared" si="9"/>
        <v>0.18487500000000001</v>
      </c>
      <c r="E27" s="58">
        <f t="shared" si="10"/>
        <v>0.10200000000000001</v>
      </c>
      <c r="F27" s="58">
        <f t="shared" si="11"/>
        <v>0.37612499999999999</v>
      </c>
      <c r="G27" s="74">
        <f t="shared" si="12"/>
        <v>14.2035</v>
      </c>
      <c r="H27" s="75">
        <f>J27/21.7</f>
        <v>45.381382488479261</v>
      </c>
      <c r="I27" s="61">
        <f>G27*16</f>
        <v>227.256</v>
      </c>
      <c r="J27" s="61">
        <f t="shared" si="13"/>
        <v>984.77599999999995</v>
      </c>
      <c r="L27" t="s">
        <v>423</v>
      </c>
      <c r="M27" s="61">
        <f>J44/1213</f>
        <v>38.142178015938441</v>
      </c>
      <c r="N27" s="61">
        <f>J44/758</f>
        <v>61.037548724714156</v>
      </c>
      <c r="Q27" s="81"/>
      <c r="R27" s="82"/>
      <c r="S27" s="82"/>
      <c r="T27" s="82"/>
      <c r="U27" s="82"/>
    </row>
    <row r="28" spans="1:36" x14ac:dyDescent="0.3">
      <c r="A28" t="s">
        <v>845</v>
      </c>
      <c r="B28" s="73">
        <v>17.5</v>
      </c>
      <c r="C28" s="58">
        <f t="shared" si="8"/>
        <v>1.085</v>
      </c>
      <c r="D28" s="58">
        <f t="shared" si="9"/>
        <v>0.25375000000000003</v>
      </c>
      <c r="E28" s="58">
        <f t="shared" si="10"/>
        <v>0.14000000000000001</v>
      </c>
      <c r="F28" s="58">
        <f t="shared" si="11"/>
        <v>0.51624999999999999</v>
      </c>
      <c r="G28" s="74">
        <f t="shared" si="12"/>
        <v>19.495000000000001</v>
      </c>
      <c r="H28" s="75">
        <f>J28/21.7</f>
        <v>58.395161290322584</v>
      </c>
      <c r="I28" s="61">
        <f>G28*15</f>
        <v>292.42500000000001</v>
      </c>
      <c r="J28" s="61">
        <f t="shared" si="13"/>
        <v>1267.175</v>
      </c>
      <c r="L28" t="s">
        <v>424</v>
      </c>
      <c r="M28" s="61">
        <f>J44/1386</f>
        <v>33.381285666185669</v>
      </c>
      <c r="N28" s="61">
        <f>J44/866</f>
        <v>53.425475673595074</v>
      </c>
    </row>
    <row r="29" spans="1:36" x14ac:dyDescent="0.3">
      <c r="A29" t="s">
        <v>425</v>
      </c>
      <c r="H29" s="68">
        <f>J29/21.7</f>
        <v>73.732718894009224</v>
      </c>
      <c r="I29" s="68">
        <f>J29/4.3</f>
        <v>372.09302325581399</v>
      </c>
      <c r="J29" s="69">
        <v>1600</v>
      </c>
    </row>
    <row r="30" spans="1:36" x14ac:dyDescent="0.3">
      <c r="A30" t="s">
        <v>426</v>
      </c>
      <c r="H30" s="68">
        <f t="shared" ref="H30:H43" si="14">J30/21.7</f>
        <v>5.5299539170506913</v>
      </c>
      <c r="I30" s="68">
        <f t="shared" ref="I30:I44" si="15">J30/4.3</f>
        <v>27.906976744186046</v>
      </c>
      <c r="J30" s="69">
        <v>120</v>
      </c>
    </row>
    <row r="31" spans="1:36" x14ac:dyDescent="0.3">
      <c r="A31" t="s">
        <v>427</v>
      </c>
      <c r="H31" s="68">
        <f t="shared" si="14"/>
        <v>4.6082949308755765</v>
      </c>
      <c r="I31" s="68">
        <f t="shared" si="15"/>
        <v>23.255813953488374</v>
      </c>
      <c r="J31" s="69">
        <v>100</v>
      </c>
    </row>
    <row r="32" spans="1:36" x14ac:dyDescent="0.3">
      <c r="A32" t="s">
        <v>428</v>
      </c>
      <c r="H32" s="68">
        <f t="shared" si="14"/>
        <v>16.129032258064516</v>
      </c>
      <c r="I32" s="68">
        <f t="shared" si="15"/>
        <v>81.395348837209312</v>
      </c>
      <c r="J32" s="69">
        <v>350</v>
      </c>
    </row>
    <row r="33" spans="1:36" x14ac:dyDescent="0.3">
      <c r="A33" t="s">
        <v>429</v>
      </c>
      <c r="H33" s="68">
        <f t="shared" si="14"/>
        <v>13.824884792626728</v>
      </c>
      <c r="I33" s="68">
        <f t="shared" si="15"/>
        <v>69.767441860465112</v>
      </c>
      <c r="J33" s="69">
        <v>300</v>
      </c>
    </row>
    <row r="34" spans="1:36" x14ac:dyDescent="0.3">
      <c r="A34" t="s">
        <v>430</v>
      </c>
      <c r="H34" s="68">
        <f t="shared" si="14"/>
        <v>16.129032258064516</v>
      </c>
      <c r="I34" s="68">
        <f t="shared" si="15"/>
        <v>81.395348837209312</v>
      </c>
      <c r="J34" s="69">
        <v>350</v>
      </c>
    </row>
    <row r="35" spans="1:36" x14ac:dyDescent="0.3">
      <c r="A35" t="s">
        <v>431</v>
      </c>
      <c r="H35" s="68">
        <f t="shared" si="14"/>
        <v>2.5345622119815667</v>
      </c>
      <c r="I35" s="68">
        <f t="shared" si="15"/>
        <v>12.790697674418606</v>
      </c>
      <c r="J35" s="69">
        <v>55</v>
      </c>
    </row>
    <row r="36" spans="1:36" x14ac:dyDescent="0.3">
      <c r="A36" t="s">
        <v>432</v>
      </c>
      <c r="H36" s="68">
        <f t="shared" si="14"/>
        <v>53.199078341013831</v>
      </c>
      <c r="I36" s="68">
        <f t="shared" si="15"/>
        <v>268.46976744186048</v>
      </c>
      <c r="J36" s="69">
        <v>1154.42</v>
      </c>
    </row>
    <row r="37" spans="1:36" x14ac:dyDescent="0.3">
      <c r="A37" t="s">
        <v>433</v>
      </c>
      <c r="H37" s="68">
        <f t="shared" si="14"/>
        <v>138.08755760368663</v>
      </c>
      <c r="I37" s="68">
        <f t="shared" si="15"/>
        <v>696.8604651162791</v>
      </c>
      <c r="J37" s="69">
        <v>2996.5</v>
      </c>
    </row>
    <row r="38" spans="1:36" x14ac:dyDescent="0.3">
      <c r="A38" t="s">
        <v>434</v>
      </c>
      <c r="H38" s="68">
        <f t="shared" si="14"/>
        <v>13.824884792626728</v>
      </c>
      <c r="I38" s="68">
        <f t="shared" si="15"/>
        <v>69.767441860465112</v>
      </c>
      <c r="J38" s="69">
        <v>300</v>
      </c>
    </row>
    <row r="39" spans="1:36" x14ac:dyDescent="0.3">
      <c r="A39" t="s">
        <v>435</v>
      </c>
      <c r="H39" s="68">
        <f t="shared" si="14"/>
        <v>4.6082949308755765</v>
      </c>
      <c r="I39" s="68">
        <f t="shared" si="15"/>
        <v>23.255813953488374</v>
      </c>
      <c r="J39" s="69">
        <v>100</v>
      </c>
    </row>
    <row r="40" spans="1:36" x14ac:dyDescent="0.3">
      <c r="A40" t="s">
        <v>436</v>
      </c>
      <c r="H40" s="68">
        <f t="shared" si="14"/>
        <v>32.258064516129032</v>
      </c>
      <c r="I40" s="68">
        <f t="shared" si="15"/>
        <v>162.79069767441862</v>
      </c>
      <c r="J40" s="69">
        <v>700</v>
      </c>
    </row>
    <row r="41" spans="1:36" x14ac:dyDescent="0.3">
      <c r="A41" t="s">
        <v>437</v>
      </c>
      <c r="H41" s="68">
        <f t="shared" si="14"/>
        <v>8.7557603686635943</v>
      </c>
      <c r="I41" s="68">
        <f t="shared" si="15"/>
        <v>44.186046511627907</v>
      </c>
      <c r="J41" s="69">
        <v>190</v>
      </c>
    </row>
    <row r="42" spans="1:36" x14ac:dyDescent="0.3">
      <c r="A42" t="s">
        <v>438</v>
      </c>
      <c r="H42" s="68">
        <f t="shared" si="14"/>
        <v>57.603686635944705</v>
      </c>
      <c r="I42" s="68">
        <f t="shared" si="15"/>
        <v>290.69767441860466</v>
      </c>
      <c r="J42" s="69">
        <v>1250</v>
      </c>
    </row>
    <row r="43" spans="1:36" x14ac:dyDescent="0.3">
      <c r="A43" t="s">
        <v>439</v>
      </c>
      <c r="H43" s="68">
        <f t="shared" si="14"/>
        <v>165.89861751152074</v>
      </c>
      <c r="I43" s="68">
        <f t="shared" si="15"/>
        <v>837.20930232558146</v>
      </c>
      <c r="J43" s="69">
        <v>3600</v>
      </c>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1:36" x14ac:dyDescent="0.3">
      <c r="A44" s="72" t="s">
        <v>440</v>
      </c>
      <c r="B44" s="72"/>
      <c r="C44" s="72"/>
      <c r="D44" s="72"/>
      <c r="E44" s="72"/>
      <c r="F44" s="72"/>
      <c r="G44" s="72"/>
      <c r="H44" s="76">
        <f>SUM(H21:H43)</f>
        <v>2134.2122702304155</v>
      </c>
      <c r="I44" s="76">
        <f t="shared" si="15"/>
        <v>10759.642310077519</v>
      </c>
      <c r="J44" s="77">
        <f>SUM(J21:J43)</f>
        <v>46266.461933333332</v>
      </c>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row>
    <row r="46" spans="1:36" x14ac:dyDescent="0.3">
      <c r="L46" s="61"/>
    </row>
    <row r="47" spans="1:36" x14ac:dyDescent="0.3">
      <c r="E47" s="61"/>
    </row>
    <row r="48" spans="1:36" x14ac:dyDescent="0.3">
      <c r="L48" s="61"/>
      <c r="M48" s="61"/>
      <c r="N48" s="61"/>
    </row>
    <row r="49" spans="1:36" x14ac:dyDescent="0.3">
      <c r="F49" s="61"/>
      <c r="G49" s="61"/>
      <c r="H49" s="61"/>
    </row>
    <row r="50" spans="1:36" x14ac:dyDescent="0.3">
      <c r="A50" s="1" t="s">
        <v>441</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3">
      <c r="A51" t="s">
        <v>162</v>
      </c>
      <c r="B51" t="s">
        <v>147</v>
      </c>
      <c r="C51" s="78">
        <v>0.1</v>
      </c>
      <c r="D51" s="78">
        <v>0.15</v>
      </c>
      <c r="E51" s="78">
        <v>0.2</v>
      </c>
    </row>
    <row r="52" spans="1:36" x14ac:dyDescent="0.3">
      <c r="A52" s="79">
        <f>J10+L17+J44</f>
        <v>89997.795266666653</v>
      </c>
      <c r="B52" s="80">
        <f>A52*1.42</f>
        <v>127796.86927866664</v>
      </c>
      <c r="C52" s="1">
        <f>B52*1.1</f>
        <v>140576.55620653331</v>
      </c>
      <c r="D52" s="1">
        <f>B52*1.15</f>
        <v>146966.39967046661</v>
      </c>
      <c r="E52" s="1">
        <f>B52*1.2</f>
        <v>153356.24313439996</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3">
      <c r="C53">
        <f>B52/0.9</f>
        <v>141996.5214207407</v>
      </c>
      <c r="D53">
        <f>B52/0.85</f>
        <v>150349.25797490194</v>
      </c>
      <c r="E53">
        <f>B52/0.8</f>
        <v>159746.08659833329</v>
      </c>
    </row>
    <row r="54" spans="1:36" x14ac:dyDescent="0.3">
      <c r="B54">
        <f>A52/0.7</f>
        <v>128568.27895238095</v>
      </c>
      <c r="G54" s="61"/>
      <c r="H54" s="61"/>
      <c r="I54" s="61"/>
      <c r="J54" s="61"/>
    </row>
    <row r="55" spans="1:36" x14ac:dyDescent="0.3">
      <c r="B55">
        <v>1.42</v>
      </c>
      <c r="G55" s="61"/>
      <c r="H55" s="61"/>
    </row>
    <row r="56" spans="1:36" x14ac:dyDescent="0.3">
      <c r="L56" s="161" t="s">
        <v>846</v>
      </c>
      <c r="M56" s="161"/>
    </row>
    <row r="57" spans="1:36" x14ac:dyDescent="0.3">
      <c r="L57" s="148" t="s">
        <v>442</v>
      </c>
      <c r="M57" s="149">
        <f>(B52*12)/52</f>
        <v>29491.585218153839</v>
      </c>
    </row>
    <row r="58" spans="1:36" x14ac:dyDescent="0.3">
      <c r="A58" t="s">
        <v>417</v>
      </c>
      <c r="D58" t="s">
        <v>417</v>
      </c>
      <c r="G58" s="61"/>
      <c r="H58" s="61"/>
      <c r="L58" s="148" t="s">
        <v>443</v>
      </c>
      <c r="M58" s="150">
        <f>M57/5</f>
        <v>5898.3170436307682</v>
      </c>
    </row>
    <row r="59" spans="1:36" x14ac:dyDescent="0.3">
      <c r="A59" t="s">
        <v>444</v>
      </c>
      <c r="D59" t="s">
        <v>445</v>
      </c>
      <c r="J59" s="61"/>
      <c r="L59" s="148" t="s">
        <v>446</v>
      </c>
      <c r="M59" s="149">
        <f>M58/5</f>
        <v>1179.6634087261536</v>
      </c>
    </row>
    <row r="60" spans="1:36" x14ac:dyDescent="0.3">
      <c r="A60" t="s">
        <v>379</v>
      </c>
      <c r="B60" t="s">
        <v>447</v>
      </c>
      <c r="D60" t="s">
        <v>448</v>
      </c>
      <c r="E60" t="s">
        <v>447</v>
      </c>
      <c r="L60" s="148" t="s">
        <v>532</v>
      </c>
      <c r="M60" s="149">
        <f>M59*5</f>
        <v>5898.3170436307682</v>
      </c>
    </row>
    <row r="61" spans="1:36" x14ac:dyDescent="0.3">
      <c r="A61" t="s">
        <v>449</v>
      </c>
      <c r="B61" s="61">
        <f>M3</f>
        <v>44.423312883435585</v>
      </c>
      <c r="D61" t="s">
        <v>449</v>
      </c>
      <c r="E61" s="61">
        <f>N3</f>
        <v>70.990196078431381</v>
      </c>
    </row>
    <row r="62" spans="1:36" x14ac:dyDescent="0.3">
      <c r="A62" t="s">
        <v>450</v>
      </c>
      <c r="B62" s="69">
        <f>M14</f>
        <v>8.7116564417177909</v>
      </c>
      <c r="D62" t="s">
        <v>450</v>
      </c>
      <c r="E62" s="69">
        <f>N14</f>
        <v>13.921568627450981</v>
      </c>
    </row>
    <row r="63" spans="1:36" x14ac:dyDescent="0.3">
      <c r="A63" t="s">
        <v>451</v>
      </c>
      <c r="B63" s="61">
        <f>M21</f>
        <v>283.84332474437628</v>
      </c>
      <c r="D63" t="s">
        <v>451</v>
      </c>
      <c r="E63" s="61">
        <f>N21</f>
        <v>453.59276405228758</v>
      </c>
    </row>
    <row r="64" spans="1:36" x14ac:dyDescent="0.3">
      <c r="A64" t="s">
        <v>164</v>
      </c>
      <c r="B64">
        <f>B61+B62+B63</f>
        <v>336.97829406952962</v>
      </c>
      <c r="D64" t="s">
        <v>164</v>
      </c>
      <c r="E64">
        <f>E61+E62+E63</f>
        <v>538.50452875816995</v>
      </c>
    </row>
    <row r="66" spans="1:5" x14ac:dyDescent="0.3">
      <c r="A66" t="s">
        <v>418</v>
      </c>
      <c r="D66" t="s">
        <v>418</v>
      </c>
    </row>
    <row r="67" spans="1:5" x14ac:dyDescent="0.3">
      <c r="A67" t="s">
        <v>444</v>
      </c>
      <c r="D67" t="s">
        <v>445</v>
      </c>
    </row>
    <row r="68" spans="1:5" x14ac:dyDescent="0.3">
      <c r="A68" t="s">
        <v>379</v>
      </c>
      <c r="B68" t="s">
        <v>447</v>
      </c>
      <c r="D68" t="s">
        <v>448</v>
      </c>
      <c r="E68" t="s">
        <v>447</v>
      </c>
    </row>
    <row r="69" spans="1:5" x14ac:dyDescent="0.3">
      <c r="A69" t="s">
        <v>449</v>
      </c>
      <c r="B69" s="61">
        <f>M3</f>
        <v>44.423312883435585</v>
      </c>
      <c r="D69" t="s">
        <v>449</v>
      </c>
      <c r="E69" s="61">
        <f>N3</f>
        <v>70.990196078431381</v>
      </c>
    </row>
    <row r="70" spans="1:5" x14ac:dyDescent="0.3">
      <c r="A70" t="s">
        <v>450</v>
      </c>
      <c r="B70" s="69">
        <f>M14</f>
        <v>8.7116564417177909</v>
      </c>
      <c r="D70" t="s">
        <v>450</v>
      </c>
      <c r="E70" s="69">
        <f>N14</f>
        <v>13.921568627450981</v>
      </c>
    </row>
    <row r="71" spans="1:5" x14ac:dyDescent="0.3">
      <c r="A71" t="s">
        <v>451</v>
      </c>
      <c r="B71" s="61">
        <f>M22</f>
        <v>141.92166237218814</v>
      </c>
      <c r="D71" t="s">
        <v>451</v>
      </c>
      <c r="E71" s="61">
        <f>N22</f>
        <v>226.79638202614379</v>
      </c>
    </row>
    <row r="72" spans="1:5" x14ac:dyDescent="0.3">
      <c r="A72" t="s">
        <v>164</v>
      </c>
      <c r="B72">
        <f>B69+B70+B71</f>
        <v>195.05663169734152</v>
      </c>
      <c r="D72" t="s">
        <v>164</v>
      </c>
      <c r="E72">
        <f>E69+E70+E71</f>
        <v>311.70814673202614</v>
      </c>
    </row>
    <row r="74" spans="1:5" x14ac:dyDescent="0.3">
      <c r="A74" t="s">
        <v>419</v>
      </c>
      <c r="D74" t="s">
        <v>419</v>
      </c>
    </row>
    <row r="75" spans="1:5" x14ac:dyDescent="0.3">
      <c r="A75" t="s">
        <v>452</v>
      </c>
      <c r="D75" t="s">
        <v>445</v>
      </c>
    </row>
    <row r="76" spans="1:5" x14ac:dyDescent="0.3">
      <c r="A76" t="s">
        <v>379</v>
      </c>
      <c r="B76" t="s">
        <v>447</v>
      </c>
      <c r="D76" t="s">
        <v>448</v>
      </c>
      <c r="E76" t="s">
        <v>447</v>
      </c>
    </row>
    <row r="77" spans="1:5" x14ac:dyDescent="0.3">
      <c r="A77" t="s">
        <v>449</v>
      </c>
      <c r="B77" s="61">
        <f>M3</f>
        <v>44.423312883435585</v>
      </c>
      <c r="D77" t="s">
        <v>449</v>
      </c>
      <c r="E77" s="61">
        <f>N3</f>
        <v>70.990196078431381</v>
      </c>
    </row>
    <row r="78" spans="1:5" x14ac:dyDescent="0.3">
      <c r="A78" t="s">
        <v>450</v>
      </c>
      <c r="B78" s="68">
        <v>9</v>
      </c>
      <c r="D78" t="s">
        <v>450</v>
      </c>
      <c r="E78" s="68">
        <v>14</v>
      </c>
    </row>
    <row r="79" spans="1:5" x14ac:dyDescent="0.3">
      <c r="A79" t="s">
        <v>451</v>
      </c>
      <c r="B79" s="61">
        <f>M23</f>
        <v>94.614441581458763</v>
      </c>
      <c r="D79" t="s">
        <v>451</v>
      </c>
      <c r="E79" s="61">
        <f>N23</f>
        <v>151.19758801742918</v>
      </c>
    </row>
    <row r="80" spans="1:5" x14ac:dyDescent="0.3">
      <c r="A80" t="s">
        <v>164</v>
      </c>
      <c r="B80" s="68">
        <f>B77+B78+B79</f>
        <v>148.03775446489436</v>
      </c>
      <c r="D80" t="s">
        <v>164</v>
      </c>
      <c r="E80" s="68">
        <f>E77+E78+E79</f>
        <v>236.18778409586056</v>
      </c>
    </row>
    <row r="83" spans="1:5" x14ac:dyDescent="0.3">
      <c r="A83" t="s">
        <v>420</v>
      </c>
      <c r="D83" t="s">
        <v>420</v>
      </c>
    </row>
    <row r="84" spans="1:5" x14ac:dyDescent="0.3">
      <c r="A84" t="s">
        <v>452</v>
      </c>
      <c r="D84" t="s">
        <v>445</v>
      </c>
    </row>
    <row r="85" spans="1:5" x14ac:dyDescent="0.3">
      <c r="A85" t="s">
        <v>379</v>
      </c>
      <c r="B85" t="s">
        <v>447</v>
      </c>
      <c r="D85" t="s">
        <v>379</v>
      </c>
      <c r="E85" t="s">
        <v>447</v>
      </c>
    </row>
    <row r="86" spans="1:5" x14ac:dyDescent="0.3">
      <c r="A86" t="s">
        <v>449</v>
      </c>
      <c r="B86" s="61">
        <f>M3</f>
        <v>44.423312883435585</v>
      </c>
      <c r="D86" t="s">
        <v>449</v>
      </c>
      <c r="E86" s="61">
        <f>N3</f>
        <v>70.990196078431381</v>
      </c>
    </row>
    <row r="87" spans="1:5" x14ac:dyDescent="0.3">
      <c r="A87" t="s">
        <v>450</v>
      </c>
      <c r="B87" s="68">
        <v>9</v>
      </c>
      <c r="D87" t="s">
        <v>450</v>
      </c>
      <c r="E87" s="68">
        <v>14</v>
      </c>
    </row>
    <row r="88" spans="1:5" x14ac:dyDescent="0.3">
      <c r="A88" t="s">
        <v>451</v>
      </c>
      <c r="B88" s="61">
        <f>M24</f>
        <v>70.960831186094069</v>
      </c>
      <c r="D88" t="s">
        <v>451</v>
      </c>
      <c r="E88" s="61">
        <f>N24</f>
        <v>113.39819101307189</v>
      </c>
    </row>
    <row r="89" spans="1:5" x14ac:dyDescent="0.3">
      <c r="A89" t="s">
        <v>164</v>
      </c>
      <c r="B89" s="68">
        <f>B86+B87+B88</f>
        <v>124.38414406952965</v>
      </c>
      <c r="D89" t="s">
        <v>164</v>
      </c>
      <c r="E89" s="68">
        <f>E86+E87+E88</f>
        <v>198.38838709150326</v>
      </c>
    </row>
    <row r="92" spans="1:5" x14ac:dyDescent="0.3">
      <c r="A92" t="s">
        <v>421</v>
      </c>
      <c r="D92" t="s">
        <v>421</v>
      </c>
    </row>
    <row r="93" spans="1:5" x14ac:dyDescent="0.3">
      <c r="A93" t="s">
        <v>452</v>
      </c>
      <c r="D93" t="s">
        <v>445</v>
      </c>
    </row>
    <row r="94" spans="1:5" x14ac:dyDescent="0.3">
      <c r="A94" t="s">
        <v>379</v>
      </c>
      <c r="B94" t="s">
        <v>447</v>
      </c>
      <c r="D94" t="s">
        <v>379</v>
      </c>
      <c r="E94" t="s">
        <v>447</v>
      </c>
    </row>
    <row r="95" spans="1:5" x14ac:dyDescent="0.3">
      <c r="A95" t="s">
        <v>449</v>
      </c>
      <c r="B95" s="61">
        <f>M3</f>
        <v>44.423312883435585</v>
      </c>
      <c r="D95" t="s">
        <v>449</v>
      </c>
      <c r="E95" s="61">
        <f>N3</f>
        <v>70.990196078431381</v>
      </c>
    </row>
    <row r="96" spans="1:5" x14ac:dyDescent="0.3">
      <c r="A96" t="s">
        <v>450</v>
      </c>
      <c r="B96" s="68">
        <v>9</v>
      </c>
      <c r="D96" t="s">
        <v>450</v>
      </c>
      <c r="E96" s="68">
        <v>14</v>
      </c>
    </row>
    <row r="97" spans="1:5" x14ac:dyDescent="0.3">
      <c r="A97" t="s">
        <v>451</v>
      </c>
      <c r="B97" s="61">
        <f>M25</f>
        <v>56.768664948875255</v>
      </c>
      <c r="D97" t="s">
        <v>451</v>
      </c>
      <c r="E97" s="61">
        <f>N25</f>
        <v>90.71855281045751</v>
      </c>
    </row>
    <row r="98" spans="1:5" x14ac:dyDescent="0.3">
      <c r="A98" t="s">
        <v>164</v>
      </c>
      <c r="B98" s="68">
        <f>B95+B96+B97</f>
        <v>110.19197783231084</v>
      </c>
      <c r="D98" t="s">
        <v>164</v>
      </c>
      <c r="E98" s="68">
        <f>E95+E96+E97</f>
        <v>175.70874888888889</v>
      </c>
    </row>
    <row r="101" spans="1:5" x14ac:dyDescent="0.3">
      <c r="A101" t="s">
        <v>422</v>
      </c>
      <c r="D101" t="s">
        <v>422</v>
      </c>
    </row>
    <row r="102" spans="1:5" x14ac:dyDescent="0.3">
      <c r="A102" t="s">
        <v>452</v>
      </c>
      <c r="D102" t="s">
        <v>445</v>
      </c>
    </row>
    <row r="103" spans="1:5" x14ac:dyDescent="0.3">
      <c r="A103" t="s">
        <v>379</v>
      </c>
      <c r="B103" t="s">
        <v>447</v>
      </c>
      <c r="D103" t="s">
        <v>379</v>
      </c>
      <c r="E103" t="s">
        <v>447</v>
      </c>
    </row>
    <row r="104" spans="1:5" x14ac:dyDescent="0.3">
      <c r="A104" t="s">
        <v>449</v>
      </c>
      <c r="B104" s="61">
        <f>M3</f>
        <v>44.423312883435585</v>
      </c>
      <c r="D104" t="s">
        <v>449</v>
      </c>
      <c r="E104" s="61">
        <f>N3</f>
        <v>70.990196078431381</v>
      </c>
    </row>
    <row r="105" spans="1:5" x14ac:dyDescent="0.3">
      <c r="A105" t="s">
        <v>450</v>
      </c>
      <c r="B105" s="68">
        <v>9</v>
      </c>
      <c r="D105" t="s">
        <v>450</v>
      </c>
      <c r="E105" s="68">
        <v>14</v>
      </c>
    </row>
    <row r="106" spans="1:5" x14ac:dyDescent="0.3">
      <c r="A106" t="s">
        <v>451</v>
      </c>
      <c r="B106" s="61">
        <f>M26</f>
        <v>44.486982628205126</v>
      </c>
      <c r="D106" t="s">
        <v>451</v>
      </c>
      <c r="E106" s="61">
        <f>N26</f>
        <v>71.179172205128197</v>
      </c>
    </row>
    <row r="107" spans="1:5" x14ac:dyDescent="0.3">
      <c r="A107" t="s">
        <v>164</v>
      </c>
      <c r="B107" s="68">
        <f>B104+B105+B106</f>
        <v>97.910295511640712</v>
      </c>
      <c r="D107" t="s">
        <v>164</v>
      </c>
      <c r="E107" s="68">
        <f>E104+E105+E106</f>
        <v>156.16936828355958</v>
      </c>
    </row>
    <row r="110" spans="1:5" x14ac:dyDescent="0.3">
      <c r="A110" t="s">
        <v>423</v>
      </c>
      <c r="D110" t="s">
        <v>423</v>
      </c>
    </row>
    <row r="111" spans="1:5" x14ac:dyDescent="0.3">
      <c r="A111" t="s">
        <v>452</v>
      </c>
      <c r="D111" t="s">
        <v>445</v>
      </c>
    </row>
    <row r="112" spans="1:5" x14ac:dyDescent="0.3">
      <c r="A112" t="s">
        <v>379</v>
      </c>
      <c r="B112" t="s">
        <v>447</v>
      </c>
      <c r="D112" t="s">
        <v>379</v>
      </c>
      <c r="E112" t="s">
        <v>447</v>
      </c>
    </row>
    <row r="113" spans="1:5" x14ac:dyDescent="0.3">
      <c r="A113" t="s">
        <v>449</v>
      </c>
      <c r="B113" s="61">
        <f>M3</f>
        <v>44.423312883435585</v>
      </c>
      <c r="D113" t="s">
        <v>449</v>
      </c>
      <c r="E113" s="61">
        <f>N3</f>
        <v>70.990196078431381</v>
      </c>
    </row>
    <row r="114" spans="1:5" x14ac:dyDescent="0.3">
      <c r="A114" t="s">
        <v>450</v>
      </c>
      <c r="B114" s="68">
        <v>9</v>
      </c>
      <c r="D114" t="s">
        <v>450</v>
      </c>
      <c r="E114" s="68">
        <v>14</v>
      </c>
    </row>
    <row r="115" spans="1:5" x14ac:dyDescent="0.3">
      <c r="A115" t="s">
        <v>451</v>
      </c>
      <c r="B115" s="61">
        <f>M27</f>
        <v>38.142178015938441</v>
      </c>
      <c r="D115" t="s">
        <v>451</v>
      </c>
      <c r="E115" s="61">
        <f>N27</f>
        <v>61.037548724714156</v>
      </c>
    </row>
    <row r="116" spans="1:5" x14ac:dyDescent="0.3">
      <c r="A116" t="s">
        <v>164</v>
      </c>
      <c r="B116" s="68">
        <f>B113+B114+B115</f>
        <v>91.565490899374026</v>
      </c>
      <c r="D116" t="s">
        <v>164</v>
      </c>
      <c r="E116" s="68">
        <f>E113+E114+E115</f>
        <v>146.02774480314554</v>
      </c>
    </row>
    <row r="119" spans="1:5" x14ac:dyDescent="0.3">
      <c r="A119" t="s">
        <v>424</v>
      </c>
      <c r="D119" t="s">
        <v>424</v>
      </c>
    </row>
    <row r="120" spans="1:5" x14ac:dyDescent="0.3">
      <c r="A120" t="s">
        <v>452</v>
      </c>
      <c r="D120" t="s">
        <v>445</v>
      </c>
    </row>
    <row r="121" spans="1:5" x14ac:dyDescent="0.3">
      <c r="A121" t="s">
        <v>379</v>
      </c>
      <c r="B121" t="s">
        <v>447</v>
      </c>
      <c r="D121" t="s">
        <v>379</v>
      </c>
      <c r="E121" t="s">
        <v>447</v>
      </c>
    </row>
    <row r="122" spans="1:5" x14ac:dyDescent="0.3">
      <c r="A122" t="s">
        <v>449</v>
      </c>
      <c r="B122" s="61">
        <f>M3</f>
        <v>44.423312883435585</v>
      </c>
      <c r="D122" t="s">
        <v>449</v>
      </c>
      <c r="E122" s="61">
        <f>N3</f>
        <v>70.990196078431381</v>
      </c>
    </row>
    <row r="123" spans="1:5" x14ac:dyDescent="0.3">
      <c r="A123" t="s">
        <v>450</v>
      </c>
      <c r="B123" s="68">
        <v>9</v>
      </c>
      <c r="D123" t="s">
        <v>450</v>
      </c>
      <c r="E123" s="68">
        <v>14</v>
      </c>
    </row>
    <row r="124" spans="1:5" x14ac:dyDescent="0.3">
      <c r="A124" t="s">
        <v>451</v>
      </c>
      <c r="B124" s="61">
        <f>M28</f>
        <v>33.381285666185669</v>
      </c>
      <c r="D124" t="s">
        <v>451</v>
      </c>
      <c r="E124" s="61">
        <f>N28</f>
        <v>53.425475673595074</v>
      </c>
    </row>
    <row r="125" spans="1:5" x14ac:dyDescent="0.3">
      <c r="A125" t="s">
        <v>164</v>
      </c>
      <c r="B125" s="68">
        <f>B122+B123+B124</f>
        <v>86.804598549621261</v>
      </c>
      <c r="D125" t="s">
        <v>164</v>
      </c>
      <c r="E125" s="68">
        <f>E122+E123+E124</f>
        <v>138.41567175202647</v>
      </c>
    </row>
  </sheetData>
  <mergeCells count="1">
    <mergeCell ref="L56:M5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6795-DDFC-4AC4-9CFA-F17FC0D04759}">
  <dimension ref="A1:G197"/>
  <sheetViews>
    <sheetView topLeftCell="A31" workbookViewId="0">
      <selection activeCell="E32" sqref="E32"/>
    </sheetView>
  </sheetViews>
  <sheetFormatPr defaultRowHeight="14.4" x14ac:dyDescent="0.3"/>
  <cols>
    <col min="1" max="1" width="12.5546875" customWidth="1"/>
    <col min="2" max="2" width="26.6640625" customWidth="1"/>
    <col min="3" max="3" width="47" customWidth="1"/>
    <col min="4" max="4" width="28.21875" customWidth="1"/>
    <col min="5" max="5" width="15.77734375" customWidth="1"/>
  </cols>
  <sheetData>
    <row r="1" spans="1:7" x14ac:dyDescent="0.3">
      <c r="A1" t="s">
        <v>581</v>
      </c>
      <c r="B1" t="s">
        <v>582</v>
      </c>
      <c r="C1" t="s">
        <v>583</v>
      </c>
      <c r="D1" t="s">
        <v>584</v>
      </c>
      <c r="E1" t="s">
        <v>585</v>
      </c>
      <c r="F1" t="s">
        <v>586</v>
      </c>
      <c r="G1" t="s">
        <v>587</v>
      </c>
    </row>
    <row r="2" spans="1:7" x14ac:dyDescent="0.3">
      <c r="A2" t="s">
        <v>588</v>
      </c>
      <c r="B2" t="s">
        <v>31</v>
      </c>
      <c r="C2" t="s">
        <v>32</v>
      </c>
      <c r="D2" t="s">
        <v>616</v>
      </c>
      <c r="E2" s="68">
        <f>Pricing!C52</f>
        <v>2648</v>
      </c>
      <c r="F2" s="68">
        <v>0</v>
      </c>
    </row>
    <row r="3" spans="1:7" ht="409.6" x14ac:dyDescent="0.3">
      <c r="A3" t="s">
        <v>588</v>
      </c>
      <c r="B3" t="s">
        <v>31</v>
      </c>
      <c r="C3" t="s">
        <v>60</v>
      </c>
      <c r="D3" s="141" t="s">
        <v>645</v>
      </c>
      <c r="E3" s="68">
        <f>Pricing!C46</f>
        <v>1368</v>
      </c>
      <c r="F3" s="68">
        <v>0</v>
      </c>
    </row>
    <row r="4" spans="1:7" ht="409.6" x14ac:dyDescent="0.3">
      <c r="A4" t="s">
        <v>588</v>
      </c>
      <c r="B4" t="s">
        <v>31</v>
      </c>
      <c r="C4" t="s">
        <v>61</v>
      </c>
      <c r="D4" s="141" t="s">
        <v>646</v>
      </c>
      <c r="E4" s="68">
        <f>Pricing!C47</f>
        <v>1508</v>
      </c>
      <c r="F4" s="68">
        <v>0</v>
      </c>
    </row>
    <row r="5" spans="1:7" ht="409.6" x14ac:dyDescent="0.3">
      <c r="A5" t="s">
        <v>588</v>
      </c>
      <c r="B5" t="s">
        <v>31</v>
      </c>
      <c r="C5" t="s">
        <v>62</v>
      </c>
      <c r="D5" s="141" t="s">
        <v>647</v>
      </c>
      <c r="E5" s="68">
        <v>2098</v>
      </c>
      <c r="F5" s="68">
        <v>0</v>
      </c>
    </row>
    <row r="6" spans="1:7" ht="403.2" x14ac:dyDescent="0.3">
      <c r="A6" t="s">
        <v>588</v>
      </c>
      <c r="B6" t="s">
        <v>31</v>
      </c>
      <c r="C6" t="s">
        <v>72</v>
      </c>
      <c r="D6" s="141" t="s">
        <v>652</v>
      </c>
      <c r="E6" s="68">
        <v>618</v>
      </c>
      <c r="F6" s="68">
        <v>0</v>
      </c>
    </row>
    <row r="7" spans="1:7" ht="403.2" x14ac:dyDescent="0.3">
      <c r="A7" t="s">
        <v>588</v>
      </c>
      <c r="B7" t="s">
        <v>31</v>
      </c>
      <c r="C7" t="s">
        <v>75</v>
      </c>
      <c r="D7" s="141" t="s">
        <v>653</v>
      </c>
      <c r="E7" s="68">
        <v>868</v>
      </c>
      <c r="F7" s="68">
        <v>0</v>
      </c>
    </row>
    <row r="8" spans="1:7" ht="409.6" x14ac:dyDescent="0.3">
      <c r="A8" t="s">
        <v>588</v>
      </c>
      <c r="B8" t="s">
        <v>31</v>
      </c>
      <c r="C8" t="s">
        <v>78</v>
      </c>
      <c r="D8" s="141" t="s">
        <v>655</v>
      </c>
      <c r="E8" s="68">
        <v>798</v>
      </c>
      <c r="F8" s="68">
        <v>0</v>
      </c>
    </row>
    <row r="9" spans="1:7" ht="409.6" x14ac:dyDescent="0.3">
      <c r="A9" t="s">
        <v>588</v>
      </c>
      <c r="B9" t="s">
        <v>63</v>
      </c>
      <c r="C9" t="s">
        <v>65</v>
      </c>
      <c r="D9" s="141" t="s">
        <v>645</v>
      </c>
      <c r="E9" s="68">
        <v>1498</v>
      </c>
      <c r="F9" s="68">
        <v>0</v>
      </c>
    </row>
    <row r="10" spans="1:7" ht="409.6" x14ac:dyDescent="0.3">
      <c r="A10" t="s">
        <v>588</v>
      </c>
      <c r="B10" t="s">
        <v>63</v>
      </c>
      <c r="C10" t="s">
        <v>66</v>
      </c>
      <c r="D10" s="141" t="s">
        <v>648</v>
      </c>
      <c r="E10" s="68">
        <v>1588</v>
      </c>
      <c r="F10" s="68">
        <v>0</v>
      </c>
    </row>
    <row r="11" spans="1:7" ht="409.6" x14ac:dyDescent="0.3">
      <c r="A11" t="s">
        <v>588</v>
      </c>
      <c r="B11" t="s">
        <v>63</v>
      </c>
      <c r="C11" t="s">
        <v>67</v>
      </c>
      <c r="D11" s="141" t="s">
        <v>647</v>
      </c>
      <c r="E11" s="68">
        <v>2328</v>
      </c>
      <c r="F11" s="68">
        <v>0</v>
      </c>
    </row>
    <row r="12" spans="1:7" ht="403.2" x14ac:dyDescent="0.3">
      <c r="A12" t="s">
        <v>588</v>
      </c>
      <c r="B12" t="s">
        <v>63</v>
      </c>
      <c r="C12" t="s">
        <v>73</v>
      </c>
      <c r="D12" s="141" t="s">
        <v>652</v>
      </c>
      <c r="E12" s="68">
        <v>728</v>
      </c>
      <c r="F12" s="68">
        <v>0</v>
      </c>
    </row>
    <row r="13" spans="1:7" ht="403.2" x14ac:dyDescent="0.3">
      <c r="A13" t="s">
        <v>588</v>
      </c>
      <c r="B13" t="s">
        <v>63</v>
      </c>
      <c r="C13" t="s">
        <v>76</v>
      </c>
      <c r="D13" s="141" t="s">
        <v>654</v>
      </c>
      <c r="E13" s="68">
        <v>868</v>
      </c>
      <c r="F13" s="68">
        <v>0</v>
      </c>
    </row>
    <row r="14" spans="1:7" ht="409.6" x14ac:dyDescent="0.3">
      <c r="A14" t="s">
        <v>588</v>
      </c>
      <c r="B14" t="s">
        <v>63</v>
      </c>
      <c r="C14" t="s">
        <v>79</v>
      </c>
      <c r="D14" s="141" t="s">
        <v>655</v>
      </c>
      <c r="E14" s="68">
        <v>798</v>
      </c>
      <c r="F14" s="68">
        <v>0</v>
      </c>
    </row>
    <row r="15" spans="1:7" x14ac:dyDescent="0.3">
      <c r="A15" t="s">
        <v>588</v>
      </c>
      <c r="B15" t="s">
        <v>63</v>
      </c>
      <c r="C15" t="s">
        <v>748</v>
      </c>
      <c r="D15" t="s">
        <v>749</v>
      </c>
      <c r="E15" s="68">
        <v>2708</v>
      </c>
      <c r="F15" s="68">
        <v>0</v>
      </c>
    </row>
    <row r="16" spans="1:7" ht="409.6" x14ac:dyDescent="0.3">
      <c r="A16" t="s">
        <v>588</v>
      </c>
      <c r="B16" t="s">
        <v>63</v>
      </c>
      <c r="C16" t="s">
        <v>777</v>
      </c>
      <c r="D16" s="141" t="s">
        <v>778</v>
      </c>
      <c r="E16" s="68">
        <v>1018</v>
      </c>
      <c r="F16" s="68">
        <v>0</v>
      </c>
    </row>
    <row r="17" spans="1:7" ht="57.6" x14ac:dyDescent="0.3">
      <c r="A17" t="s">
        <v>588</v>
      </c>
      <c r="B17" t="s">
        <v>56</v>
      </c>
      <c r="C17" t="s">
        <v>639</v>
      </c>
      <c r="D17" s="141" t="s">
        <v>640</v>
      </c>
      <c r="E17" s="68">
        <v>2558</v>
      </c>
      <c r="F17" s="68">
        <v>0</v>
      </c>
      <c r="G17" t="s">
        <v>641</v>
      </c>
    </row>
    <row r="18" spans="1:7" ht="409.6" x14ac:dyDescent="0.3">
      <c r="A18" t="s">
        <v>588</v>
      </c>
      <c r="B18" t="s">
        <v>56</v>
      </c>
      <c r="C18" t="s">
        <v>69</v>
      </c>
      <c r="D18" s="141" t="s">
        <v>649</v>
      </c>
      <c r="E18" s="68">
        <v>2428</v>
      </c>
      <c r="F18" s="68">
        <v>0</v>
      </c>
    </row>
    <row r="19" spans="1:7" ht="409.6" x14ac:dyDescent="0.3">
      <c r="A19" t="s">
        <v>588</v>
      </c>
      <c r="B19" t="s">
        <v>56</v>
      </c>
      <c r="C19" t="s">
        <v>70</v>
      </c>
      <c r="D19" s="141" t="s">
        <v>650</v>
      </c>
      <c r="E19" s="68">
        <v>2558</v>
      </c>
      <c r="F19" s="68">
        <v>0</v>
      </c>
    </row>
    <row r="20" spans="1:7" ht="409.6" x14ac:dyDescent="0.3">
      <c r="A20" t="s">
        <v>588</v>
      </c>
      <c r="B20" t="s">
        <v>56</v>
      </c>
      <c r="C20" t="s">
        <v>71</v>
      </c>
      <c r="D20" s="141" t="s">
        <v>651</v>
      </c>
      <c r="E20" s="68">
        <v>2998</v>
      </c>
      <c r="F20" s="68">
        <v>0</v>
      </c>
    </row>
    <row r="21" spans="1:7" ht="403.2" x14ac:dyDescent="0.3">
      <c r="A21" t="s">
        <v>588</v>
      </c>
      <c r="B21" t="s">
        <v>56</v>
      </c>
      <c r="C21" t="s">
        <v>74</v>
      </c>
      <c r="D21" s="141" t="s">
        <v>652</v>
      </c>
      <c r="E21" s="68">
        <v>1068</v>
      </c>
      <c r="F21" s="68">
        <v>0</v>
      </c>
    </row>
    <row r="22" spans="1:7" ht="403.2" x14ac:dyDescent="0.3">
      <c r="A22" t="s">
        <v>588</v>
      </c>
      <c r="B22" t="s">
        <v>56</v>
      </c>
      <c r="C22" t="s">
        <v>77</v>
      </c>
      <c r="D22" s="141" t="s">
        <v>654</v>
      </c>
      <c r="E22" s="68">
        <v>1398</v>
      </c>
      <c r="F22" s="68">
        <v>0</v>
      </c>
    </row>
    <row r="23" spans="1:7" ht="409.6" x14ac:dyDescent="0.3">
      <c r="A23" t="s">
        <v>588</v>
      </c>
      <c r="B23" t="s">
        <v>56</v>
      </c>
      <c r="C23" t="s">
        <v>80</v>
      </c>
      <c r="D23" s="141" t="s">
        <v>655</v>
      </c>
      <c r="E23" s="68">
        <v>1138</v>
      </c>
      <c r="F23" s="68">
        <v>0</v>
      </c>
    </row>
    <row r="24" spans="1:7" ht="288" x14ac:dyDescent="0.3">
      <c r="A24" t="s">
        <v>588</v>
      </c>
      <c r="B24" t="s">
        <v>56</v>
      </c>
      <c r="C24" t="s">
        <v>791</v>
      </c>
      <c r="D24" s="141" t="s">
        <v>792</v>
      </c>
      <c r="E24" s="68">
        <v>3308</v>
      </c>
      <c r="F24" s="68">
        <v>0</v>
      </c>
    </row>
    <row r="25" spans="1:7" ht="409.6" x14ac:dyDescent="0.3">
      <c r="A25" t="s">
        <v>588</v>
      </c>
      <c r="B25" t="s">
        <v>26</v>
      </c>
      <c r="C25" t="s">
        <v>27</v>
      </c>
      <c r="D25" s="141" t="s">
        <v>834</v>
      </c>
      <c r="E25" s="68">
        <v>778</v>
      </c>
      <c r="F25" s="68">
        <v>0</v>
      </c>
    </row>
    <row r="26" spans="1:7" ht="409.6" x14ac:dyDescent="0.3">
      <c r="A26" t="s">
        <v>588</v>
      </c>
      <c r="B26" t="s">
        <v>26</v>
      </c>
      <c r="C26" t="s">
        <v>28</v>
      </c>
      <c r="D26" s="141" t="s">
        <v>613</v>
      </c>
      <c r="E26" s="68">
        <v>728</v>
      </c>
      <c r="F26" s="68">
        <v>0</v>
      </c>
    </row>
    <row r="27" spans="1:7" ht="403.2" x14ac:dyDescent="0.3">
      <c r="A27" t="s">
        <v>588</v>
      </c>
      <c r="B27" t="s">
        <v>26</v>
      </c>
      <c r="C27" t="s">
        <v>29</v>
      </c>
      <c r="D27" s="141" t="s">
        <v>614</v>
      </c>
      <c r="E27" s="68">
        <v>658</v>
      </c>
      <c r="F27" s="68">
        <v>0</v>
      </c>
    </row>
    <row r="28" spans="1:7" ht="331.2" x14ac:dyDescent="0.3">
      <c r="A28" t="s">
        <v>588</v>
      </c>
      <c r="B28" t="s">
        <v>26</v>
      </c>
      <c r="C28" t="s">
        <v>43</v>
      </c>
      <c r="D28" s="141" t="s">
        <v>628</v>
      </c>
      <c r="E28" s="68">
        <v>298</v>
      </c>
      <c r="F28" s="68">
        <v>0</v>
      </c>
    </row>
    <row r="29" spans="1:7" ht="409.6" x14ac:dyDescent="0.3">
      <c r="A29" t="s">
        <v>588</v>
      </c>
      <c r="B29" t="s">
        <v>26</v>
      </c>
      <c r="C29" t="s">
        <v>44</v>
      </c>
      <c r="D29" s="141" t="s">
        <v>629</v>
      </c>
      <c r="E29" s="68">
        <v>268</v>
      </c>
      <c r="F29" s="68">
        <v>0</v>
      </c>
    </row>
    <row r="30" spans="1:7" ht="409.6" x14ac:dyDescent="0.3">
      <c r="A30" t="s">
        <v>588</v>
      </c>
      <c r="B30" t="s">
        <v>26</v>
      </c>
      <c r="C30" t="s">
        <v>45</v>
      </c>
      <c r="D30" s="141" t="s">
        <v>630</v>
      </c>
      <c r="E30" s="68">
        <v>248</v>
      </c>
      <c r="F30" s="68">
        <v>0</v>
      </c>
    </row>
    <row r="31" spans="1:7" x14ac:dyDescent="0.3">
      <c r="A31" t="s">
        <v>588</v>
      </c>
      <c r="B31" t="s">
        <v>26</v>
      </c>
      <c r="C31" t="s">
        <v>51</v>
      </c>
      <c r="D31" t="e">
        <v>#NAME?</v>
      </c>
      <c r="E31" s="68">
        <v>378</v>
      </c>
      <c r="F31" s="68">
        <v>0</v>
      </c>
    </row>
    <row r="32" spans="1:7" x14ac:dyDescent="0.3">
      <c r="A32" t="s">
        <v>588</v>
      </c>
      <c r="B32" t="s">
        <v>26</v>
      </c>
      <c r="C32" t="s">
        <v>705</v>
      </c>
      <c r="D32" t="s">
        <v>706</v>
      </c>
      <c r="E32" s="68">
        <f>Pricing!C9</f>
        <v>278</v>
      </c>
      <c r="F32" s="68">
        <v>0</v>
      </c>
    </row>
    <row r="33" spans="1:6" x14ac:dyDescent="0.3">
      <c r="A33" t="s">
        <v>588</v>
      </c>
      <c r="B33" t="s">
        <v>26</v>
      </c>
      <c r="C33" t="s">
        <v>113</v>
      </c>
      <c r="D33" t="s">
        <v>707</v>
      </c>
      <c r="E33" s="68">
        <v>278</v>
      </c>
      <c r="F33" s="68">
        <v>0</v>
      </c>
    </row>
    <row r="34" spans="1:6" x14ac:dyDescent="0.3">
      <c r="A34" t="s">
        <v>588</v>
      </c>
      <c r="B34" t="s">
        <v>26</v>
      </c>
      <c r="C34" t="s">
        <v>114</v>
      </c>
      <c r="D34" t="s">
        <v>708</v>
      </c>
      <c r="E34" s="68">
        <v>748</v>
      </c>
      <c r="F34" s="68">
        <v>0</v>
      </c>
    </row>
    <row r="35" spans="1:6" ht="57.6" x14ac:dyDescent="0.3">
      <c r="A35" t="s">
        <v>588</v>
      </c>
      <c r="B35" t="s">
        <v>26</v>
      </c>
      <c r="C35" t="s">
        <v>115</v>
      </c>
      <c r="D35" s="141" t="s">
        <v>709</v>
      </c>
      <c r="E35" s="68">
        <v>248</v>
      </c>
      <c r="F35" s="68">
        <v>0</v>
      </c>
    </row>
    <row r="36" spans="1:6" ht="43.2" x14ac:dyDescent="0.3">
      <c r="A36" t="s">
        <v>588</v>
      </c>
      <c r="B36" t="s">
        <v>26</v>
      </c>
      <c r="C36" t="s">
        <v>116</v>
      </c>
      <c r="D36" s="141" t="s">
        <v>710</v>
      </c>
      <c r="E36" s="68">
        <v>288</v>
      </c>
      <c r="F36" s="68">
        <v>0</v>
      </c>
    </row>
    <row r="37" spans="1:6" x14ac:dyDescent="0.3">
      <c r="A37" t="s">
        <v>588</v>
      </c>
      <c r="B37" t="s">
        <v>26</v>
      </c>
      <c r="C37" t="s">
        <v>117</v>
      </c>
      <c r="D37" t="s">
        <v>711</v>
      </c>
      <c r="E37" s="68">
        <v>228</v>
      </c>
      <c r="F37" s="68">
        <v>0</v>
      </c>
    </row>
    <row r="38" spans="1:6" x14ac:dyDescent="0.3">
      <c r="A38" t="s">
        <v>588</v>
      </c>
      <c r="B38" t="s">
        <v>26</v>
      </c>
      <c r="C38" t="s">
        <v>118</v>
      </c>
      <c r="D38" t="s">
        <v>712</v>
      </c>
      <c r="E38" s="68">
        <v>248</v>
      </c>
      <c r="F38" s="68">
        <v>0</v>
      </c>
    </row>
    <row r="39" spans="1:6" x14ac:dyDescent="0.3">
      <c r="A39" t="s">
        <v>588</v>
      </c>
      <c r="B39" t="s">
        <v>26</v>
      </c>
      <c r="C39" t="s">
        <v>713</v>
      </c>
      <c r="D39" t="s">
        <v>714</v>
      </c>
      <c r="E39" s="68">
        <v>228</v>
      </c>
      <c r="F39" s="68">
        <v>0</v>
      </c>
    </row>
    <row r="40" spans="1:6" x14ac:dyDescent="0.3">
      <c r="A40" t="s">
        <v>588</v>
      </c>
      <c r="B40" t="s">
        <v>26</v>
      </c>
      <c r="C40" t="s">
        <v>119</v>
      </c>
      <c r="D40" t="s">
        <v>715</v>
      </c>
      <c r="E40" s="68">
        <v>228</v>
      </c>
      <c r="F40" s="68">
        <v>0</v>
      </c>
    </row>
    <row r="41" spans="1:6" x14ac:dyDescent="0.3">
      <c r="A41" t="s">
        <v>588</v>
      </c>
      <c r="B41" t="s">
        <v>26</v>
      </c>
      <c r="C41" t="s">
        <v>120</v>
      </c>
      <c r="D41" t="s">
        <v>716</v>
      </c>
      <c r="E41" s="68">
        <v>358</v>
      </c>
      <c r="F41" s="68">
        <v>0</v>
      </c>
    </row>
    <row r="42" spans="1:6" x14ac:dyDescent="0.3">
      <c r="A42" t="s">
        <v>588</v>
      </c>
      <c r="B42" t="s">
        <v>26</v>
      </c>
      <c r="C42" t="s">
        <v>121</v>
      </c>
      <c r="D42" t="s">
        <v>717</v>
      </c>
      <c r="E42" s="68">
        <v>248</v>
      </c>
      <c r="F42" s="68">
        <v>0</v>
      </c>
    </row>
    <row r="43" spans="1:6" x14ac:dyDescent="0.3">
      <c r="A43" t="s">
        <v>588</v>
      </c>
      <c r="B43" t="s">
        <v>26</v>
      </c>
      <c r="C43" t="s">
        <v>122</v>
      </c>
      <c r="D43" t="s">
        <v>718</v>
      </c>
      <c r="E43" s="68">
        <v>398</v>
      </c>
      <c r="F43" s="68">
        <v>0</v>
      </c>
    </row>
    <row r="44" spans="1:6" x14ac:dyDescent="0.3">
      <c r="A44" t="s">
        <v>588</v>
      </c>
      <c r="B44" t="s">
        <v>26</v>
      </c>
      <c r="C44" t="s">
        <v>125</v>
      </c>
      <c r="D44" t="s">
        <v>722</v>
      </c>
      <c r="E44" s="68">
        <v>248</v>
      </c>
      <c r="F44" s="68">
        <v>0</v>
      </c>
    </row>
    <row r="45" spans="1:6" x14ac:dyDescent="0.3">
      <c r="A45" t="s">
        <v>588</v>
      </c>
      <c r="B45" t="s">
        <v>26</v>
      </c>
      <c r="C45" t="s">
        <v>129</v>
      </c>
      <c r="D45" t="s">
        <v>726</v>
      </c>
      <c r="E45" s="68">
        <v>258</v>
      </c>
      <c r="F45" s="68">
        <v>0</v>
      </c>
    </row>
    <row r="46" spans="1:6" x14ac:dyDescent="0.3">
      <c r="A46" t="s">
        <v>588</v>
      </c>
      <c r="B46" t="s">
        <v>26</v>
      </c>
      <c r="C46" t="s">
        <v>799</v>
      </c>
      <c r="E46" s="68">
        <v>248</v>
      </c>
      <c r="F46" s="68">
        <v>0</v>
      </c>
    </row>
    <row r="47" spans="1:6" x14ac:dyDescent="0.3">
      <c r="A47" t="s">
        <v>588</v>
      </c>
      <c r="B47" t="s">
        <v>35</v>
      </c>
      <c r="C47" t="s">
        <v>36</v>
      </c>
      <c r="D47" t="e">
        <v>#NAME?</v>
      </c>
      <c r="E47" s="68">
        <v>268</v>
      </c>
      <c r="F47" s="68">
        <v>0</v>
      </c>
    </row>
    <row r="48" spans="1:6" x14ac:dyDescent="0.3">
      <c r="A48" t="s">
        <v>588</v>
      </c>
      <c r="B48" t="s">
        <v>35</v>
      </c>
      <c r="C48" t="s">
        <v>102</v>
      </c>
      <c r="D48" t="s">
        <v>692</v>
      </c>
      <c r="E48" s="68">
        <v>498</v>
      </c>
      <c r="F48" s="68">
        <v>0</v>
      </c>
    </row>
    <row r="49" spans="1:6" x14ac:dyDescent="0.3">
      <c r="A49" t="s">
        <v>588</v>
      </c>
      <c r="B49" t="s">
        <v>731</v>
      </c>
      <c r="C49" t="s">
        <v>732</v>
      </c>
      <c r="D49" t="s">
        <v>733</v>
      </c>
      <c r="E49" s="68">
        <v>468</v>
      </c>
      <c r="F49" s="68">
        <v>0</v>
      </c>
    </row>
    <row r="50" spans="1:6" ht="216" x14ac:dyDescent="0.3">
      <c r="A50" t="s">
        <v>588</v>
      </c>
      <c r="B50" t="s">
        <v>0</v>
      </c>
      <c r="C50" t="s">
        <v>1</v>
      </c>
      <c r="D50" s="141" t="s">
        <v>589</v>
      </c>
      <c r="E50" s="68">
        <v>228</v>
      </c>
      <c r="F50" s="68">
        <v>0</v>
      </c>
    </row>
    <row r="51" spans="1:6" ht="216" x14ac:dyDescent="0.3">
      <c r="A51" t="s">
        <v>588</v>
      </c>
      <c r="B51" t="s">
        <v>0</v>
      </c>
      <c r="C51" t="s">
        <v>2</v>
      </c>
      <c r="D51" s="141" t="s">
        <v>590</v>
      </c>
      <c r="E51" s="68">
        <v>258</v>
      </c>
      <c r="F51" s="68">
        <v>0</v>
      </c>
    </row>
    <row r="52" spans="1:6" ht="172.8" x14ac:dyDescent="0.3">
      <c r="A52" t="s">
        <v>588</v>
      </c>
      <c r="B52" t="s">
        <v>0</v>
      </c>
      <c r="C52" t="s">
        <v>8</v>
      </c>
      <c r="D52" s="141" t="s">
        <v>593</v>
      </c>
      <c r="E52" s="68">
        <v>228</v>
      </c>
      <c r="F52" s="68">
        <v>0</v>
      </c>
    </row>
    <row r="53" spans="1:6" ht="244.8" x14ac:dyDescent="0.3">
      <c r="A53" t="s">
        <v>588</v>
      </c>
      <c r="B53" t="s">
        <v>0</v>
      </c>
      <c r="C53" t="s">
        <v>9</v>
      </c>
      <c r="D53" s="141" t="s">
        <v>594</v>
      </c>
      <c r="E53" s="68">
        <v>348</v>
      </c>
      <c r="F53" s="68">
        <v>0</v>
      </c>
    </row>
    <row r="54" spans="1:6" ht="115.2" x14ac:dyDescent="0.3">
      <c r="A54" t="s">
        <v>588</v>
      </c>
      <c r="B54" t="s">
        <v>0</v>
      </c>
      <c r="C54" t="s">
        <v>100</v>
      </c>
      <c r="D54" s="141" t="s">
        <v>690</v>
      </c>
      <c r="E54" s="68">
        <v>348</v>
      </c>
      <c r="F54" s="68">
        <v>0</v>
      </c>
    </row>
    <row r="55" spans="1:6" ht="187.2" x14ac:dyDescent="0.3">
      <c r="A55" t="s">
        <v>588</v>
      </c>
      <c r="B55" t="s">
        <v>0</v>
      </c>
      <c r="C55" t="s">
        <v>101</v>
      </c>
      <c r="D55" s="141" t="s">
        <v>691</v>
      </c>
      <c r="E55" s="68">
        <v>458</v>
      </c>
      <c r="F55" s="68">
        <v>0</v>
      </c>
    </row>
    <row r="56" spans="1:6" ht="144" x14ac:dyDescent="0.3">
      <c r="A56" t="s">
        <v>588</v>
      </c>
      <c r="B56" t="s">
        <v>0</v>
      </c>
      <c r="C56" t="s">
        <v>126</v>
      </c>
      <c r="D56" s="141" t="s">
        <v>723</v>
      </c>
      <c r="E56" s="68">
        <v>458</v>
      </c>
      <c r="F56" s="68">
        <v>0</v>
      </c>
    </row>
    <row r="57" spans="1:6" x14ac:dyDescent="0.3">
      <c r="A57" t="s">
        <v>588</v>
      </c>
      <c r="B57" t="s">
        <v>0</v>
      </c>
      <c r="C57" t="s">
        <v>127</v>
      </c>
      <c r="D57" t="s">
        <v>724</v>
      </c>
      <c r="E57" s="68">
        <v>228</v>
      </c>
      <c r="F57" s="68">
        <v>0</v>
      </c>
    </row>
    <row r="58" spans="1:6" x14ac:dyDescent="0.3">
      <c r="A58" t="s">
        <v>588</v>
      </c>
      <c r="B58" t="s">
        <v>0</v>
      </c>
      <c r="C58" t="s">
        <v>139</v>
      </c>
      <c r="D58" t="s">
        <v>738</v>
      </c>
      <c r="E58" s="68">
        <v>288</v>
      </c>
      <c r="F58" s="68">
        <v>0</v>
      </c>
    </row>
    <row r="59" spans="1:6" ht="158.4" x14ac:dyDescent="0.3">
      <c r="A59" t="s">
        <v>588</v>
      </c>
      <c r="B59" t="s">
        <v>0</v>
      </c>
      <c r="C59" t="s">
        <v>750</v>
      </c>
      <c r="D59" s="141" t="s">
        <v>751</v>
      </c>
      <c r="E59" s="68">
        <v>938</v>
      </c>
      <c r="F59" s="68">
        <v>0</v>
      </c>
    </row>
    <row r="60" spans="1:6" x14ac:dyDescent="0.3">
      <c r="A60" t="s">
        <v>588</v>
      </c>
      <c r="B60" t="s">
        <v>0</v>
      </c>
      <c r="C60" t="s">
        <v>783</v>
      </c>
      <c r="D60" t="s">
        <v>784</v>
      </c>
      <c r="E60" s="68">
        <v>228</v>
      </c>
      <c r="F60" s="68">
        <v>0</v>
      </c>
    </row>
    <row r="61" spans="1:6" ht="403.2" x14ac:dyDescent="0.3">
      <c r="A61" t="s">
        <v>588</v>
      </c>
      <c r="B61" t="s">
        <v>607</v>
      </c>
      <c r="C61" t="s">
        <v>608</v>
      </c>
      <c r="D61" s="141" t="s">
        <v>609</v>
      </c>
      <c r="E61" s="68">
        <v>48</v>
      </c>
      <c r="F61" s="68">
        <v>0</v>
      </c>
    </row>
    <row r="62" spans="1:6" x14ac:dyDescent="0.3">
      <c r="A62" t="s">
        <v>588</v>
      </c>
      <c r="B62" t="s">
        <v>607</v>
      </c>
      <c r="C62" t="s">
        <v>607</v>
      </c>
      <c r="D62" t="s">
        <v>620</v>
      </c>
      <c r="E62" s="68">
        <v>0</v>
      </c>
      <c r="F62" s="68">
        <v>0</v>
      </c>
    </row>
    <row r="63" spans="1:6" x14ac:dyDescent="0.3">
      <c r="A63" t="s">
        <v>588</v>
      </c>
      <c r="B63" t="s">
        <v>607</v>
      </c>
      <c r="C63" t="s">
        <v>808</v>
      </c>
      <c r="D63" t="s">
        <v>809</v>
      </c>
      <c r="E63" s="68">
        <v>228</v>
      </c>
      <c r="F63" s="68">
        <v>0</v>
      </c>
    </row>
    <row r="64" spans="1:6" ht="259.2" x14ac:dyDescent="0.3">
      <c r="A64" t="s">
        <v>588</v>
      </c>
      <c r="B64" t="s">
        <v>3</v>
      </c>
      <c r="C64" t="s">
        <v>4</v>
      </c>
      <c r="D64" s="141" t="s">
        <v>591</v>
      </c>
      <c r="E64" s="68">
        <v>448</v>
      </c>
      <c r="F64" s="68">
        <v>0</v>
      </c>
    </row>
    <row r="65" spans="1:6" ht="259.2" x14ac:dyDescent="0.3">
      <c r="A65" t="s">
        <v>588</v>
      </c>
      <c r="B65" t="s">
        <v>3</v>
      </c>
      <c r="C65" t="s">
        <v>5</v>
      </c>
      <c r="D65" s="141" t="s">
        <v>592</v>
      </c>
      <c r="E65" s="68">
        <v>558</v>
      </c>
      <c r="F65" s="68">
        <v>0</v>
      </c>
    </row>
    <row r="66" spans="1:6" ht="86.4" x14ac:dyDescent="0.3">
      <c r="A66" t="s">
        <v>588</v>
      </c>
      <c r="B66" t="s">
        <v>3</v>
      </c>
      <c r="C66" t="s">
        <v>25</v>
      </c>
      <c r="D66" s="141" t="s">
        <v>612</v>
      </c>
      <c r="E66" s="68">
        <v>228</v>
      </c>
      <c r="F66" s="68">
        <v>0</v>
      </c>
    </row>
    <row r="67" spans="1:6" ht="259.2" x14ac:dyDescent="0.3">
      <c r="A67" t="s">
        <v>588</v>
      </c>
      <c r="B67" t="s">
        <v>3</v>
      </c>
      <c r="C67" t="s">
        <v>46</v>
      </c>
      <c r="D67" s="141" t="s">
        <v>631</v>
      </c>
      <c r="E67" s="68">
        <v>368</v>
      </c>
      <c r="F67" s="68">
        <v>0</v>
      </c>
    </row>
    <row r="68" spans="1:6" x14ac:dyDescent="0.3">
      <c r="A68" t="s">
        <v>588</v>
      </c>
      <c r="B68" t="s">
        <v>3</v>
      </c>
      <c r="C68" t="s">
        <v>806</v>
      </c>
      <c r="D68" t="s">
        <v>807</v>
      </c>
      <c r="E68" s="68">
        <v>0</v>
      </c>
      <c r="F68" s="68">
        <v>188</v>
      </c>
    </row>
    <row r="69" spans="1:6" x14ac:dyDescent="0.3">
      <c r="A69" t="s">
        <v>588</v>
      </c>
      <c r="B69" t="s">
        <v>802</v>
      </c>
      <c r="C69" t="s">
        <v>803</v>
      </c>
      <c r="D69" t="s">
        <v>804</v>
      </c>
      <c r="E69" s="68">
        <v>198</v>
      </c>
      <c r="F69" s="68">
        <v>0</v>
      </c>
    </row>
    <row r="70" spans="1:6" x14ac:dyDescent="0.3">
      <c r="A70" t="s">
        <v>588</v>
      </c>
      <c r="B70" t="s">
        <v>802</v>
      </c>
      <c r="C70" t="s">
        <v>805</v>
      </c>
      <c r="E70" s="68">
        <v>358</v>
      </c>
      <c r="F70" s="68">
        <v>0</v>
      </c>
    </row>
    <row r="71" spans="1:6" x14ac:dyDescent="0.3">
      <c r="A71" t="s">
        <v>588</v>
      </c>
      <c r="B71" t="s">
        <v>802</v>
      </c>
      <c r="C71" t="s">
        <v>812</v>
      </c>
      <c r="E71" s="68">
        <v>428</v>
      </c>
      <c r="F71" s="68">
        <v>0</v>
      </c>
    </row>
    <row r="72" spans="1:6" x14ac:dyDescent="0.3">
      <c r="A72" t="s">
        <v>588</v>
      </c>
      <c r="B72" t="s">
        <v>23</v>
      </c>
      <c r="C72" t="s">
        <v>610</v>
      </c>
      <c r="D72" t="s">
        <v>611</v>
      </c>
      <c r="E72" s="68">
        <v>278</v>
      </c>
      <c r="F72" s="68">
        <v>0</v>
      </c>
    </row>
    <row r="73" spans="1:6" ht="72" x14ac:dyDescent="0.3">
      <c r="A73" t="s">
        <v>588</v>
      </c>
      <c r="B73" t="s">
        <v>23</v>
      </c>
      <c r="C73" t="s">
        <v>38</v>
      </c>
      <c r="D73" s="141" t="s">
        <v>624</v>
      </c>
      <c r="E73" s="68">
        <v>288</v>
      </c>
      <c r="F73" s="68">
        <v>0</v>
      </c>
    </row>
    <row r="74" spans="1:6" x14ac:dyDescent="0.3">
      <c r="A74" t="s">
        <v>588</v>
      </c>
      <c r="B74" t="s">
        <v>23</v>
      </c>
      <c r="C74" t="s">
        <v>103</v>
      </c>
      <c r="D74" t="s">
        <v>693</v>
      </c>
      <c r="E74" s="68">
        <v>248</v>
      </c>
      <c r="F74" s="68">
        <v>0</v>
      </c>
    </row>
    <row r="75" spans="1:6" x14ac:dyDescent="0.3">
      <c r="A75" t="s">
        <v>588</v>
      </c>
      <c r="B75" t="s">
        <v>23</v>
      </c>
      <c r="C75" t="s">
        <v>694</v>
      </c>
      <c r="D75" t="s">
        <v>695</v>
      </c>
      <c r="E75" s="68">
        <v>388</v>
      </c>
      <c r="F75" s="68">
        <v>0</v>
      </c>
    </row>
    <row r="76" spans="1:6" ht="43.2" x14ac:dyDescent="0.3">
      <c r="A76" t="s">
        <v>588</v>
      </c>
      <c r="B76" t="s">
        <v>23</v>
      </c>
      <c r="C76" t="s">
        <v>696</v>
      </c>
      <c r="D76" s="141" t="s">
        <v>697</v>
      </c>
      <c r="E76" s="68">
        <v>418</v>
      </c>
      <c r="F76" s="68">
        <v>0</v>
      </c>
    </row>
    <row r="77" spans="1:6" x14ac:dyDescent="0.3">
      <c r="A77" t="s">
        <v>588</v>
      </c>
      <c r="B77" t="s">
        <v>23</v>
      </c>
      <c r="C77" t="s">
        <v>105</v>
      </c>
      <c r="D77" t="s">
        <v>698</v>
      </c>
      <c r="E77" s="68">
        <v>248</v>
      </c>
      <c r="F77" s="68">
        <v>0</v>
      </c>
    </row>
    <row r="78" spans="1:6" x14ac:dyDescent="0.3">
      <c r="A78" t="s">
        <v>588</v>
      </c>
      <c r="B78" t="s">
        <v>23</v>
      </c>
      <c r="C78" t="s">
        <v>106</v>
      </c>
      <c r="D78" t="s">
        <v>699</v>
      </c>
      <c r="E78" s="68">
        <v>318</v>
      </c>
      <c r="F78" s="68">
        <v>0</v>
      </c>
    </row>
    <row r="79" spans="1:6" x14ac:dyDescent="0.3">
      <c r="A79" t="s">
        <v>588</v>
      </c>
      <c r="B79" t="s">
        <v>23</v>
      </c>
      <c r="C79" t="s">
        <v>107</v>
      </c>
      <c r="D79" t="s">
        <v>700</v>
      </c>
      <c r="E79" s="68">
        <v>238</v>
      </c>
      <c r="F79" s="68">
        <v>0</v>
      </c>
    </row>
    <row r="80" spans="1:6" x14ac:dyDescent="0.3">
      <c r="A80" t="s">
        <v>588</v>
      </c>
      <c r="B80" t="s">
        <v>23</v>
      </c>
      <c r="C80" t="s">
        <v>108</v>
      </c>
      <c r="D80" t="s">
        <v>701</v>
      </c>
      <c r="E80" s="68">
        <v>298</v>
      </c>
      <c r="F80" s="68">
        <v>0</v>
      </c>
    </row>
    <row r="81" spans="1:6" x14ac:dyDescent="0.3">
      <c r="A81" t="s">
        <v>588</v>
      </c>
      <c r="B81" t="s">
        <v>23</v>
      </c>
      <c r="C81" t="s">
        <v>109</v>
      </c>
      <c r="D81" t="s">
        <v>702</v>
      </c>
      <c r="E81" s="68">
        <v>368</v>
      </c>
      <c r="F81" s="68">
        <v>0</v>
      </c>
    </row>
    <row r="82" spans="1:6" x14ac:dyDescent="0.3">
      <c r="A82" t="s">
        <v>588</v>
      </c>
      <c r="B82" t="s">
        <v>23</v>
      </c>
      <c r="C82" t="s">
        <v>110</v>
      </c>
      <c r="D82" t="s">
        <v>703</v>
      </c>
      <c r="E82" s="68">
        <v>258</v>
      </c>
      <c r="F82" s="68">
        <v>0</v>
      </c>
    </row>
    <row r="83" spans="1:6" x14ac:dyDescent="0.3">
      <c r="A83" t="s">
        <v>588</v>
      </c>
      <c r="B83" t="s">
        <v>23</v>
      </c>
      <c r="C83" t="s">
        <v>111</v>
      </c>
      <c r="D83" t="s">
        <v>704</v>
      </c>
      <c r="E83" s="68">
        <v>328</v>
      </c>
      <c r="F83" s="68">
        <v>0</v>
      </c>
    </row>
    <row r="84" spans="1:6" x14ac:dyDescent="0.3">
      <c r="A84" t="s">
        <v>588</v>
      </c>
      <c r="B84" t="s">
        <v>23</v>
      </c>
      <c r="C84" t="s">
        <v>746</v>
      </c>
      <c r="D84" t="s">
        <v>747</v>
      </c>
      <c r="E84" s="68">
        <v>748</v>
      </c>
      <c r="F84" s="68">
        <v>0</v>
      </c>
    </row>
    <row r="85" spans="1:6" ht="216" x14ac:dyDescent="0.3">
      <c r="A85" t="s">
        <v>588</v>
      </c>
      <c r="B85" t="s">
        <v>23</v>
      </c>
      <c r="C85" t="s">
        <v>774</v>
      </c>
      <c r="D85" s="141" t="s">
        <v>775</v>
      </c>
      <c r="E85" s="68">
        <v>958</v>
      </c>
      <c r="F85" s="68">
        <v>0</v>
      </c>
    </row>
    <row r="86" spans="1:6" ht="345.6" x14ac:dyDescent="0.3">
      <c r="A86" t="s">
        <v>588</v>
      </c>
      <c r="B86" t="s">
        <v>52</v>
      </c>
      <c r="C86" t="s">
        <v>53</v>
      </c>
      <c r="D86" s="141" t="s">
        <v>636</v>
      </c>
      <c r="E86" s="68">
        <v>578</v>
      </c>
      <c r="F86" s="68">
        <v>0</v>
      </c>
    </row>
    <row r="87" spans="1:6" ht="244.8" x14ac:dyDescent="0.3">
      <c r="A87" t="s">
        <v>588</v>
      </c>
      <c r="B87" t="s">
        <v>52</v>
      </c>
      <c r="C87" t="s">
        <v>54</v>
      </c>
      <c r="D87" s="141" t="s">
        <v>637</v>
      </c>
      <c r="E87" s="68">
        <v>288</v>
      </c>
      <c r="F87" s="68">
        <v>0</v>
      </c>
    </row>
    <row r="88" spans="1:6" x14ac:dyDescent="0.3">
      <c r="A88" t="s">
        <v>588</v>
      </c>
      <c r="B88" t="s">
        <v>52</v>
      </c>
      <c r="C88" t="s">
        <v>719</v>
      </c>
      <c r="D88" t="s">
        <v>720</v>
      </c>
      <c r="E88" s="68">
        <v>508</v>
      </c>
      <c r="F88" s="68">
        <v>0</v>
      </c>
    </row>
    <row r="89" spans="1:6" x14ac:dyDescent="0.3">
      <c r="A89" t="s">
        <v>588</v>
      </c>
      <c r="B89" t="s">
        <v>52</v>
      </c>
      <c r="C89" t="s">
        <v>132</v>
      </c>
      <c r="D89" t="s">
        <v>728</v>
      </c>
      <c r="E89" s="68">
        <v>248</v>
      </c>
      <c r="F89" s="68">
        <v>0</v>
      </c>
    </row>
    <row r="90" spans="1:6" x14ac:dyDescent="0.3">
      <c r="A90" t="s">
        <v>588</v>
      </c>
      <c r="B90" t="s">
        <v>52</v>
      </c>
      <c r="C90" t="s">
        <v>729</v>
      </c>
      <c r="D90" t="s">
        <v>730</v>
      </c>
      <c r="E90" s="68">
        <v>238</v>
      </c>
      <c r="F90" s="68">
        <v>0</v>
      </c>
    </row>
    <row r="91" spans="1:6" x14ac:dyDescent="0.3">
      <c r="A91" t="s">
        <v>588</v>
      </c>
      <c r="B91" t="s">
        <v>52</v>
      </c>
      <c r="C91" t="s">
        <v>133</v>
      </c>
      <c r="D91" t="s">
        <v>734</v>
      </c>
      <c r="E91" s="68">
        <v>288</v>
      </c>
      <c r="F91" s="68">
        <v>0</v>
      </c>
    </row>
    <row r="92" spans="1:6" x14ac:dyDescent="0.3">
      <c r="A92" t="s">
        <v>588</v>
      </c>
      <c r="B92" t="s">
        <v>52</v>
      </c>
      <c r="C92" t="s">
        <v>810</v>
      </c>
      <c r="D92" t="s">
        <v>811</v>
      </c>
      <c r="E92" s="68">
        <v>288</v>
      </c>
      <c r="F92" s="68">
        <v>0</v>
      </c>
    </row>
    <row r="93" spans="1:6" ht="302.39999999999998" x14ac:dyDescent="0.3">
      <c r="A93" t="s">
        <v>588</v>
      </c>
      <c r="B93" t="s">
        <v>816</v>
      </c>
      <c r="C93" t="s">
        <v>817</v>
      </c>
      <c r="D93" s="141" t="s">
        <v>818</v>
      </c>
      <c r="E93" s="68">
        <v>0</v>
      </c>
      <c r="F93" s="68">
        <v>0</v>
      </c>
    </row>
    <row r="94" spans="1:6" ht="388.8" x14ac:dyDescent="0.3">
      <c r="A94" t="s">
        <v>588</v>
      </c>
      <c r="B94" t="s">
        <v>816</v>
      </c>
      <c r="C94" t="s">
        <v>819</v>
      </c>
      <c r="D94" s="141" t="s">
        <v>820</v>
      </c>
      <c r="E94" s="68">
        <v>0</v>
      </c>
      <c r="F94" s="68">
        <v>0</v>
      </c>
    </row>
    <row r="95" spans="1:6" ht="409.6" x14ac:dyDescent="0.3">
      <c r="A95" t="s">
        <v>588</v>
      </c>
      <c r="B95" t="s">
        <v>816</v>
      </c>
      <c r="C95" t="s">
        <v>821</v>
      </c>
      <c r="D95" s="141" t="s">
        <v>822</v>
      </c>
      <c r="E95" s="68">
        <v>0</v>
      </c>
      <c r="F95" s="68">
        <v>0</v>
      </c>
    </row>
    <row r="96" spans="1:6" x14ac:dyDescent="0.3">
      <c r="A96" t="s">
        <v>588</v>
      </c>
      <c r="B96" t="s">
        <v>623</v>
      </c>
      <c r="C96" t="s">
        <v>37</v>
      </c>
      <c r="D96" t="e">
        <v>#NAME?</v>
      </c>
      <c r="E96" s="68">
        <v>248</v>
      </c>
      <c r="F96" s="68">
        <v>0</v>
      </c>
    </row>
    <row r="97" spans="1:6" ht="86.4" x14ac:dyDescent="0.3">
      <c r="A97" t="s">
        <v>588</v>
      </c>
      <c r="B97" t="s">
        <v>39</v>
      </c>
      <c r="C97" t="s">
        <v>40</v>
      </c>
      <c r="D97" s="141" t="s">
        <v>625</v>
      </c>
      <c r="E97" s="68">
        <v>228</v>
      </c>
      <c r="F97" s="68">
        <v>0</v>
      </c>
    </row>
    <row r="98" spans="1:6" ht="230.4" x14ac:dyDescent="0.3">
      <c r="A98" t="s">
        <v>588</v>
      </c>
      <c r="B98" t="s">
        <v>39</v>
      </c>
      <c r="C98" t="s">
        <v>41</v>
      </c>
      <c r="D98" s="141" t="s">
        <v>626</v>
      </c>
      <c r="E98" s="68">
        <v>288</v>
      </c>
      <c r="F98" s="68">
        <v>0</v>
      </c>
    </row>
    <row r="99" spans="1:6" ht="273.60000000000002" x14ac:dyDescent="0.3">
      <c r="A99" t="s">
        <v>588</v>
      </c>
      <c r="B99" t="s">
        <v>39</v>
      </c>
      <c r="C99" t="s">
        <v>42</v>
      </c>
      <c r="D99" s="141" t="s">
        <v>627</v>
      </c>
      <c r="E99" s="68">
        <v>248</v>
      </c>
      <c r="F99" s="68">
        <v>0</v>
      </c>
    </row>
    <row r="100" spans="1:6" ht="409.6" x14ac:dyDescent="0.3">
      <c r="A100" t="s">
        <v>588</v>
      </c>
      <c r="B100" t="s">
        <v>39</v>
      </c>
      <c r="C100" t="s">
        <v>47</v>
      </c>
      <c r="D100" s="141" t="s">
        <v>632</v>
      </c>
      <c r="E100" s="68">
        <v>608</v>
      </c>
      <c r="F100" s="68">
        <v>0</v>
      </c>
    </row>
    <row r="101" spans="1:6" ht="409.6" x14ac:dyDescent="0.3">
      <c r="A101" t="s">
        <v>588</v>
      </c>
      <c r="B101" t="s">
        <v>39</v>
      </c>
      <c r="C101" t="s">
        <v>50</v>
      </c>
      <c r="D101" s="141" t="s">
        <v>635</v>
      </c>
      <c r="E101" s="68">
        <v>458</v>
      </c>
      <c r="F101" s="68">
        <v>0</v>
      </c>
    </row>
    <row r="102" spans="1:6" x14ac:dyDescent="0.3">
      <c r="A102" t="s">
        <v>588</v>
      </c>
      <c r="B102" t="s">
        <v>39</v>
      </c>
      <c r="C102" t="s">
        <v>143</v>
      </c>
      <c r="D102" t="s">
        <v>742</v>
      </c>
      <c r="E102" s="68">
        <v>228</v>
      </c>
      <c r="F102" s="68">
        <v>0</v>
      </c>
    </row>
    <row r="103" spans="1:6" x14ac:dyDescent="0.3">
      <c r="A103" t="s">
        <v>588</v>
      </c>
      <c r="B103" t="s">
        <v>39</v>
      </c>
      <c r="C103" t="s">
        <v>785</v>
      </c>
      <c r="D103" t="s">
        <v>786</v>
      </c>
      <c r="E103" s="68">
        <v>448</v>
      </c>
      <c r="F103" s="68">
        <v>0</v>
      </c>
    </row>
    <row r="104" spans="1:6" x14ac:dyDescent="0.3">
      <c r="A104" t="s">
        <v>588</v>
      </c>
      <c r="B104" t="s">
        <v>617</v>
      </c>
      <c r="C104" t="s">
        <v>618</v>
      </c>
      <c r="D104" t="s">
        <v>619</v>
      </c>
      <c r="E104" s="68">
        <v>78</v>
      </c>
      <c r="F104" s="68">
        <v>0</v>
      </c>
    </row>
    <row r="105" spans="1:6" ht="259.2" x14ac:dyDescent="0.3">
      <c r="A105" t="s">
        <v>588</v>
      </c>
      <c r="B105" t="s">
        <v>621</v>
      </c>
      <c r="C105" t="s">
        <v>34</v>
      </c>
      <c r="D105" s="141" t="s">
        <v>622</v>
      </c>
      <c r="E105" s="68">
        <v>4298</v>
      </c>
      <c r="F105" s="68">
        <v>0</v>
      </c>
    </row>
    <row r="106" spans="1:6" ht="72" x14ac:dyDescent="0.3">
      <c r="A106" t="s">
        <v>588</v>
      </c>
      <c r="B106" t="s">
        <v>621</v>
      </c>
      <c r="C106" t="s">
        <v>48</v>
      </c>
      <c r="D106" s="141" t="s">
        <v>633</v>
      </c>
      <c r="E106" s="68">
        <v>2268</v>
      </c>
      <c r="F106" s="68">
        <v>0</v>
      </c>
    </row>
    <row r="107" spans="1:6" ht="259.2" x14ac:dyDescent="0.3">
      <c r="A107" t="s">
        <v>588</v>
      </c>
      <c r="B107" t="s">
        <v>621</v>
      </c>
      <c r="C107" t="s">
        <v>49</v>
      </c>
      <c r="D107" s="141" t="s">
        <v>634</v>
      </c>
      <c r="E107" s="68">
        <v>5708</v>
      </c>
      <c r="F107" s="68">
        <v>0</v>
      </c>
    </row>
    <row r="108" spans="1:6" ht="129.6" x14ac:dyDescent="0.3">
      <c r="A108" t="s">
        <v>588</v>
      </c>
      <c r="B108" t="s">
        <v>621</v>
      </c>
      <c r="C108" t="s">
        <v>793</v>
      </c>
      <c r="D108" s="141" t="s">
        <v>794</v>
      </c>
      <c r="E108" s="68">
        <v>448</v>
      </c>
      <c r="F108" s="68">
        <v>0</v>
      </c>
    </row>
    <row r="109" spans="1:6" x14ac:dyDescent="0.3">
      <c r="A109" t="s">
        <v>588</v>
      </c>
      <c r="B109" t="s">
        <v>621</v>
      </c>
      <c r="C109" t="s">
        <v>795</v>
      </c>
      <c r="D109" t="s">
        <v>796</v>
      </c>
      <c r="E109" s="68">
        <v>1208</v>
      </c>
      <c r="F109" s="68">
        <v>0</v>
      </c>
    </row>
    <row r="110" spans="1:6" ht="409.6" x14ac:dyDescent="0.3">
      <c r="A110" t="s">
        <v>588</v>
      </c>
      <c r="B110" t="s">
        <v>621</v>
      </c>
      <c r="C110" t="s">
        <v>814</v>
      </c>
      <c r="D110" s="141" t="s">
        <v>815</v>
      </c>
      <c r="E110" s="68">
        <v>6908</v>
      </c>
      <c r="F110" s="68">
        <v>0</v>
      </c>
    </row>
    <row r="111" spans="1:6" ht="409.6" x14ac:dyDescent="0.3">
      <c r="A111" t="s">
        <v>588</v>
      </c>
      <c r="B111" t="s">
        <v>621</v>
      </c>
      <c r="C111" t="s">
        <v>826</v>
      </c>
      <c r="D111" s="141" t="s">
        <v>827</v>
      </c>
      <c r="E111" s="68">
        <v>0</v>
      </c>
      <c r="F111" s="68">
        <v>0</v>
      </c>
    </row>
    <row r="112" spans="1:6" ht="409.6" x14ac:dyDescent="0.3">
      <c r="A112" t="s">
        <v>588</v>
      </c>
      <c r="B112" t="s">
        <v>621</v>
      </c>
      <c r="C112" t="s">
        <v>828</v>
      </c>
      <c r="D112" s="141" t="s">
        <v>829</v>
      </c>
      <c r="E112" s="68">
        <v>0</v>
      </c>
      <c r="F112" s="68">
        <v>0</v>
      </c>
    </row>
    <row r="113" spans="1:6" ht="288" x14ac:dyDescent="0.3">
      <c r="A113" t="s">
        <v>588</v>
      </c>
      <c r="B113" t="s">
        <v>621</v>
      </c>
      <c r="C113" t="s">
        <v>830</v>
      </c>
      <c r="D113" s="141" t="s">
        <v>831</v>
      </c>
      <c r="E113" s="68">
        <v>0</v>
      </c>
      <c r="F113" s="68">
        <v>0</v>
      </c>
    </row>
    <row r="114" spans="1:6" ht="409.6" x14ac:dyDescent="0.3">
      <c r="A114" t="s">
        <v>588</v>
      </c>
      <c r="B114" t="s">
        <v>93</v>
      </c>
      <c r="C114" t="s">
        <v>94</v>
      </c>
      <c r="D114" s="141" t="s">
        <v>686</v>
      </c>
      <c r="E114" s="68">
        <v>728</v>
      </c>
      <c r="F114" s="68">
        <v>0</v>
      </c>
    </row>
    <row r="115" spans="1:6" ht="409.6" x14ac:dyDescent="0.3">
      <c r="A115" t="s">
        <v>588</v>
      </c>
      <c r="B115" t="s">
        <v>93</v>
      </c>
      <c r="C115" t="s">
        <v>95</v>
      </c>
      <c r="D115" s="141" t="s">
        <v>687</v>
      </c>
      <c r="E115" s="68">
        <v>768</v>
      </c>
      <c r="F115" s="68">
        <v>0</v>
      </c>
    </row>
    <row r="116" spans="1:6" ht="259.2" x14ac:dyDescent="0.3">
      <c r="A116" t="s">
        <v>588</v>
      </c>
      <c r="B116" t="s">
        <v>93</v>
      </c>
      <c r="C116" t="s">
        <v>781</v>
      </c>
      <c r="D116" s="141" t="s">
        <v>782</v>
      </c>
      <c r="E116" s="68">
        <v>408</v>
      </c>
      <c r="F116" s="68">
        <v>0</v>
      </c>
    </row>
    <row r="117" spans="1:6" ht="409.6" x14ac:dyDescent="0.3">
      <c r="A117" t="s">
        <v>588</v>
      </c>
      <c r="B117" t="s">
        <v>98</v>
      </c>
      <c r="C117" t="s">
        <v>355</v>
      </c>
      <c r="D117" s="141" t="s">
        <v>689</v>
      </c>
      <c r="E117" s="68">
        <v>4668</v>
      </c>
      <c r="F117" s="68">
        <v>0</v>
      </c>
    </row>
    <row r="118" spans="1:6" ht="409.6" x14ac:dyDescent="0.3">
      <c r="A118" t="s">
        <v>588</v>
      </c>
      <c r="B118" t="s">
        <v>98</v>
      </c>
      <c r="C118" t="s">
        <v>354</v>
      </c>
      <c r="D118" s="141" t="s">
        <v>689</v>
      </c>
      <c r="E118" s="68">
        <v>4788</v>
      </c>
      <c r="F118" s="68">
        <v>0</v>
      </c>
    </row>
    <row r="119" spans="1:6" ht="409.6" x14ac:dyDescent="0.3">
      <c r="A119" t="s">
        <v>588</v>
      </c>
      <c r="B119" t="s">
        <v>98</v>
      </c>
      <c r="C119" t="s">
        <v>752</v>
      </c>
      <c r="D119" s="141" t="s">
        <v>689</v>
      </c>
      <c r="E119" s="68">
        <v>5778</v>
      </c>
      <c r="F119" s="68">
        <v>0</v>
      </c>
    </row>
    <row r="120" spans="1:6" ht="409.6" x14ac:dyDescent="0.3">
      <c r="A120" t="s">
        <v>588</v>
      </c>
      <c r="B120" t="s">
        <v>98</v>
      </c>
      <c r="C120" t="s">
        <v>753</v>
      </c>
      <c r="D120" s="141" t="s">
        <v>689</v>
      </c>
      <c r="E120" s="68">
        <v>5648</v>
      </c>
      <c r="F120" s="68">
        <v>0</v>
      </c>
    </row>
    <row r="121" spans="1:6" ht="409.6" x14ac:dyDescent="0.3">
      <c r="A121" t="s">
        <v>588</v>
      </c>
      <c r="B121" t="s">
        <v>98</v>
      </c>
      <c r="C121" t="s">
        <v>754</v>
      </c>
      <c r="D121" s="141" t="s">
        <v>689</v>
      </c>
      <c r="E121" s="68">
        <v>8338</v>
      </c>
      <c r="F121" s="68">
        <v>0</v>
      </c>
    </row>
    <row r="122" spans="1:6" x14ac:dyDescent="0.3">
      <c r="A122" t="s">
        <v>588</v>
      </c>
      <c r="B122" t="s">
        <v>98</v>
      </c>
      <c r="C122" t="s">
        <v>790</v>
      </c>
      <c r="E122" s="68">
        <v>218</v>
      </c>
      <c r="F122" s="68">
        <v>0</v>
      </c>
    </row>
    <row r="123" spans="1:6" x14ac:dyDescent="0.3">
      <c r="A123" t="s">
        <v>588</v>
      </c>
      <c r="B123" t="s">
        <v>363</v>
      </c>
      <c r="C123" t="s">
        <v>760</v>
      </c>
      <c r="D123" t="s">
        <v>761</v>
      </c>
      <c r="E123" s="68">
        <v>1018</v>
      </c>
      <c r="F123" s="68">
        <v>0</v>
      </c>
    </row>
    <row r="124" spans="1:6" ht="216" x14ac:dyDescent="0.3">
      <c r="A124" t="s">
        <v>588</v>
      </c>
      <c r="B124" t="s">
        <v>656</v>
      </c>
      <c r="C124" t="s">
        <v>82</v>
      </c>
      <c r="D124" s="141" t="s">
        <v>657</v>
      </c>
      <c r="E124" s="68">
        <v>20.86</v>
      </c>
      <c r="F124" s="68">
        <v>0</v>
      </c>
    </row>
    <row r="125" spans="1:6" ht="216" x14ac:dyDescent="0.3">
      <c r="A125" t="s">
        <v>588</v>
      </c>
      <c r="B125" t="s">
        <v>656</v>
      </c>
      <c r="C125" t="s">
        <v>658</v>
      </c>
      <c r="D125" s="141" t="s">
        <v>657</v>
      </c>
      <c r="E125" s="68">
        <v>12.04</v>
      </c>
      <c r="F125" s="68">
        <v>0</v>
      </c>
    </row>
    <row r="126" spans="1:6" ht="216" x14ac:dyDescent="0.3">
      <c r="A126" t="s">
        <v>588</v>
      </c>
      <c r="B126" t="s">
        <v>656</v>
      </c>
      <c r="C126" t="s">
        <v>659</v>
      </c>
      <c r="D126" s="141" t="s">
        <v>657</v>
      </c>
      <c r="E126" s="68">
        <v>31.45</v>
      </c>
      <c r="F126" s="68">
        <v>0</v>
      </c>
    </row>
    <row r="127" spans="1:6" ht="216" x14ac:dyDescent="0.3">
      <c r="A127" t="s">
        <v>588</v>
      </c>
      <c r="B127" t="s">
        <v>656</v>
      </c>
      <c r="C127" t="s">
        <v>83</v>
      </c>
      <c r="D127" s="141" t="s">
        <v>657</v>
      </c>
      <c r="E127" s="68">
        <v>16.98</v>
      </c>
      <c r="F127" s="68">
        <v>0</v>
      </c>
    </row>
    <row r="128" spans="1:6" ht="216" x14ac:dyDescent="0.3">
      <c r="A128" t="s">
        <v>588</v>
      </c>
      <c r="B128" t="s">
        <v>656</v>
      </c>
      <c r="C128" t="s">
        <v>660</v>
      </c>
      <c r="D128" s="141" t="s">
        <v>657</v>
      </c>
      <c r="E128" s="68">
        <v>52.47</v>
      </c>
      <c r="F128" s="68">
        <v>0</v>
      </c>
    </row>
    <row r="129" spans="1:6" ht="216" x14ac:dyDescent="0.3">
      <c r="A129" t="s">
        <v>588</v>
      </c>
      <c r="B129" t="s">
        <v>656</v>
      </c>
      <c r="C129" t="s">
        <v>661</v>
      </c>
      <c r="D129" s="141" t="s">
        <v>657</v>
      </c>
      <c r="E129" s="68">
        <v>32.78</v>
      </c>
      <c r="F129" s="68">
        <v>0</v>
      </c>
    </row>
    <row r="130" spans="1:6" ht="216" x14ac:dyDescent="0.3">
      <c r="A130" t="s">
        <v>588</v>
      </c>
      <c r="B130" t="s">
        <v>656</v>
      </c>
      <c r="C130" t="s">
        <v>662</v>
      </c>
      <c r="D130" s="141" t="s">
        <v>657</v>
      </c>
      <c r="E130" s="68">
        <v>133.65</v>
      </c>
      <c r="F130" s="68">
        <v>0</v>
      </c>
    </row>
    <row r="131" spans="1:6" ht="216" x14ac:dyDescent="0.3">
      <c r="A131" t="s">
        <v>588</v>
      </c>
      <c r="B131" t="s">
        <v>656</v>
      </c>
      <c r="C131" t="s">
        <v>663</v>
      </c>
      <c r="D131" s="141" t="s">
        <v>657</v>
      </c>
      <c r="E131" s="68">
        <v>180.08</v>
      </c>
      <c r="F131" s="68">
        <v>0</v>
      </c>
    </row>
    <row r="132" spans="1:6" ht="216" x14ac:dyDescent="0.3">
      <c r="A132" t="s">
        <v>588</v>
      </c>
      <c r="B132" t="s">
        <v>656</v>
      </c>
      <c r="C132" t="s">
        <v>85</v>
      </c>
      <c r="D132" s="141" t="s">
        <v>657</v>
      </c>
      <c r="E132" s="68">
        <v>468.56</v>
      </c>
      <c r="F132" s="68">
        <v>0</v>
      </c>
    </row>
    <row r="133" spans="1:6" ht="216" x14ac:dyDescent="0.3">
      <c r="A133" t="s">
        <v>588</v>
      </c>
      <c r="B133" t="s">
        <v>656</v>
      </c>
      <c r="C133" t="s">
        <v>86</v>
      </c>
      <c r="D133" s="141" t="s">
        <v>657</v>
      </c>
      <c r="E133" s="68">
        <v>147.27000000000001</v>
      </c>
      <c r="F133" s="68">
        <v>0</v>
      </c>
    </row>
    <row r="134" spans="1:6" ht="216" x14ac:dyDescent="0.3">
      <c r="A134" t="s">
        <v>588</v>
      </c>
      <c r="B134" t="s">
        <v>656</v>
      </c>
      <c r="C134" t="s">
        <v>87</v>
      </c>
      <c r="D134" s="141" t="s">
        <v>657</v>
      </c>
      <c r="E134" s="68">
        <v>169.92</v>
      </c>
      <c r="F134" s="68">
        <v>0</v>
      </c>
    </row>
    <row r="135" spans="1:6" ht="216" x14ac:dyDescent="0.3">
      <c r="A135" t="s">
        <v>588</v>
      </c>
      <c r="B135" t="s">
        <v>656</v>
      </c>
      <c r="C135" t="s">
        <v>664</v>
      </c>
      <c r="D135" s="141" t="s">
        <v>657</v>
      </c>
      <c r="E135" s="68">
        <v>15.44</v>
      </c>
      <c r="F135" s="68">
        <v>0</v>
      </c>
    </row>
    <row r="136" spans="1:6" ht="216" x14ac:dyDescent="0.3">
      <c r="A136" t="s">
        <v>588</v>
      </c>
      <c r="B136" t="s">
        <v>656</v>
      </c>
      <c r="C136" t="s">
        <v>46</v>
      </c>
      <c r="D136" s="141" t="s">
        <v>657</v>
      </c>
      <c r="E136" s="68">
        <v>157.34</v>
      </c>
      <c r="F136" s="68">
        <v>0</v>
      </c>
    </row>
    <row r="137" spans="1:6" ht="216" x14ac:dyDescent="0.3">
      <c r="A137" t="s">
        <v>588</v>
      </c>
      <c r="B137" t="s">
        <v>656</v>
      </c>
      <c r="C137" t="s">
        <v>665</v>
      </c>
      <c r="D137" s="141" t="s">
        <v>657</v>
      </c>
      <c r="E137" s="68">
        <v>196.88</v>
      </c>
      <c r="F137" s="68">
        <v>0</v>
      </c>
    </row>
    <row r="138" spans="1:6" ht="216" x14ac:dyDescent="0.3">
      <c r="A138" t="s">
        <v>588</v>
      </c>
      <c r="B138" t="s">
        <v>656</v>
      </c>
      <c r="C138" t="s">
        <v>666</v>
      </c>
      <c r="D138" s="141" t="s">
        <v>657</v>
      </c>
      <c r="E138" s="68">
        <v>330.75</v>
      </c>
      <c r="F138" s="68">
        <v>0</v>
      </c>
    </row>
    <row r="139" spans="1:6" ht="216" x14ac:dyDescent="0.3">
      <c r="A139" t="s">
        <v>588</v>
      </c>
      <c r="B139" t="s">
        <v>656</v>
      </c>
      <c r="C139" t="s">
        <v>667</v>
      </c>
      <c r="D139" s="141" t="s">
        <v>657</v>
      </c>
      <c r="E139" s="68">
        <v>24.65</v>
      </c>
      <c r="F139" s="68">
        <v>0</v>
      </c>
    </row>
    <row r="140" spans="1:6" ht="216" x14ac:dyDescent="0.3">
      <c r="A140" t="s">
        <v>588</v>
      </c>
      <c r="B140" t="s">
        <v>656</v>
      </c>
      <c r="C140" t="s">
        <v>668</v>
      </c>
      <c r="D140" s="141" t="s">
        <v>657</v>
      </c>
      <c r="E140" s="68">
        <v>30.38</v>
      </c>
      <c r="F140" s="68">
        <v>0</v>
      </c>
    </row>
    <row r="141" spans="1:6" ht="216" x14ac:dyDescent="0.3">
      <c r="A141" t="s">
        <v>588</v>
      </c>
      <c r="B141" t="s">
        <v>656</v>
      </c>
      <c r="C141" t="s">
        <v>669</v>
      </c>
      <c r="D141" s="141" t="s">
        <v>657</v>
      </c>
      <c r="E141" s="68">
        <v>29.66</v>
      </c>
      <c r="F141" s="68">
        <v>0</v>
      </c>
    </row>
    <row r="142" spans="1:6" ht="216" x14ac:dyDescent="0.3">
      <c r="A142" t="s">
        <v>588</v>
      </c>
      <c r="B142" t="s">
        <v>656</v>
      </c>
      <c r="C142" t="s">
        <v>670</v>
      </c>
      <c r="D142" s="141" t="s">
        <v>657</v>
      </c>
      <c r="E142" s="68">
        <v>34.81</v>
      </c>
      <c r="F142" s="68">
        <v>0</v>
      </c>
    </row>
    <row r="143" spans="1:6" ht="216" x14ac:dyDescent="0.3">
      <c r="A143" t="s">
        <v>588</v>
      </c>
      <c r="B143" t="s">
        <v>656</v>
      </c>
      <c r="C143" t="s">
        <v>671</v>
      </c>
      <c r="D143" s="141" t="s">
        <v>657</v>
      </c>
      <c r="E143" s="68">
        <v>42.3</v>
      </c>
      <c r="F143" s="68">
        <v>0</v>
      </c>
    </row>
    <row r="144" spans="1:6" ht="216" x14ac:dyDescent="0.3">
      <c r="A144" t="s">
        <v>588</v>
      </c>
      <c r="B144" t="s">
        <v>656</v>
      </c>
      <c r="C144" t="s">
        <v>672</v>
      </c>
      <c r="D144" s="141" t="s">
        <v>657</v>
      </c>
      <c r="E144" s="68">
        <v>49.85</v>
      </c>
      <c r="F144" s="68">
        <v>0</v>
      </c>
    </row>
    <row r="145" spans="1:6" ht="216" x14ac:dyDescent="0.3">
      <c r="A145" t="s">
        <v>588</v>
      </c>
      <c r="B145" t="s">
        <v>656</v>
      </c>
      <c r="C145" t="s">
        <v>673</v>
      </c>
      <c r="D145" s="141" t="s">
        <v>657</v>
      </c>
      <c r="E145" s="68">
        <v>20.72</v>
      </c>
      <c r="F145" s="68">
        <v>0</v>
      </c>
    </row>
    <row r="146" spans="1:6" ht="216" x14ac:dyDescent="0.3">
      <c r="A146" t="s">
        <v>588</v>
      </c>
      <c r="B146" t="s">
        <v>656</v>
      </c>
      <c r="C146" t="s">
        <v>674</v>
      </c>
      <c r="D146" s="141" t="s">
        <v>657</v>
      </c>
      <c r="E146" s="68">
        <v>25.84</v>
      </c>
      <c r="F146" s="68">
        <v>0</v>
      </c>
    </row>
    <row r="147" spans="1:6" ht="216" x14ac:dyDescent="0.3">
      <c r="A147" t="s">
        <v>588</v>
      </c>
      <c r="B147" t="s">
        <v>656</v>
      </c>
      <c r="C147" t="s">
        <v>675</v>
      </c>
      <c r="D147" s="141" t="s">
        <v>657</v>
      </c>
      <c r="E147" s="68">
        <v>44.05</v>
      </c>
      <c r="F147" s="68">
        <v>0</v>
      </c>
    </row>
    <row r="148" spans="1:6" ht="216" x14ac:dyDescent="0.3">
      <c r="A148" t="s">
        <v>588</v>
      </c>
      <c r="B148" t="s">
        <v>656</v>
      </c>
      <c r="C148" t="s">
        <v>15</v>
      </c>
      <c r="D148" s="141" t="s">
        <v>657</v>
      </c>
      <c r="E148" s="68">
        <v>51.82</v>
      </c>
      <c r="F148" s="68">
        <v>0</v>
      </c>
    </row>
    <row r="149" spans="1:6" ht="201.6" x14ac:dyDescent="0.3">
      <c r="A149" t="s">
        <v>588</v>
      </c>
      <c r="B149" t="s">
        <v>656</v>
      </c>
      <c r="C149" t="s">
        <v>676</v>
      </c>
      <c r="D149" s="141" t="s">
        <v>677</v>
      </c>
      <c r="E149" s="68">
        <v>216.72</v>
      </c>
      <c r="F149" s="68">
        <v>0</v>
      </c>
    </row>
    <row r="150" spans="1:6" ht="201.6" x14ac:dyDescent="0.3">
      <c r="A150" t="s">
        <v>588</v>
      </c>
      <c r="B150" t="s">
        <v>656</v>
      </c>
      <c r="C150" t="s">
        <v>678</v>
      </c>
      <c r="D150" s="141" t="s">
        <v>677</v>
      </c>
      <c r="E150" s="68">
        <v>166.32</v>
      </c>
      <c r="F150" s="68">
        <v>0</v>
      </c>
    </row>
    <row r="151" spans="1:6" ht="187.2" x14ac:dyDescent="0.3">
      <c r="A151" t="s">
        <v>588</v>
      </c>
      <c r="B151" t="s">
        <v>656</v>
      </c>
      <c r="C151" t="s">
        <v>679</v>
      </c>
      <c r="D151" s="141" t="s">
        <v>680</v>
      </c>
      <c r="E151" s="68">
        <v>136.76</v>
      </c>
      <c r="F151" s="68">
        <v>0</v>
      </c>
    </row>
    <row r="152" spans="1:6" ht="201.6" x14ac:dyDescent="0.3">
      <c r="A152" t="s">
        <v>588</v>
      </c>
      <c r="B152" t="s">
        <v>656</v>
      </c>
      <c r="C152" t="s">
        <v>681</v>
      </c>
      <c r="D152" s="141" t="s">
        <v>677</v>
      </c>
      <c r="E152" s="68">
        <v>97.44</v>
      </c>
      <c r="F152" s="68">
        <v>0</v>
      </c>
    </row>
    <row r="153" spans="1:6" ht="216" x14ac:dyDescent="0.3">
      <c r="A153" t="s">
        <v>588</v>
      </c>
      <c r="B153" t="s">
        <v>656</v>
      </c>
      <c r="C153" t="s">
        <v>88</v>
      </c>
      <c r="D153" s="141" t="s">
        <v>657</v>
      </c>
      <c r="E153" s="68">
        <v>70.88</v>
      </c>
      <c r="F153" s="68">
        <v>0</v>
      </c>
    </row>
    <row r="154" spans="1:6" x14ac:dyDescent="0.3">
      <c r="A154" t="s">
        <v>588</v>
      </c>
      <c r="B154" t="s">
        <v>130</v>
      </c>
      <c r="C154" t="s">
        <v>131</v>
      </c>
      <c r="D154" t="s">
        <v>727</v>
      </c>
      <c r="E154" s="68">
        <v>225</v>
      </c>
      <c r="F154" s="68">
        <v>0</v>
      </c>
    </row>
    <row r="155" spans="1:6" x14ac:dyDescent="0.3">
      <c r="A155" t="s">
        <v>588</v>
      </c>
      <c r="B155" t="s">
        <v>130</v>
      </c>
      <c r="C155" t="s">
        <v>135</v>
      </c>
      <c r="D155" t="s">
        <v>735</v>
      </c>
      <c r="E155" s="68">
        <v>1950</v>
      </c>
      <c r="F155" s="68">
        <v>0</v>
      </c>
    </row>
    <row r="156" spans="1:6" x14ac:dyDescent="0.3">
      <c r="A156" t="s">
        <v>588</v>
      </c>
      <c r="B156" t="s">
        <v>130</v>
      </c>
      <c r="C156" t="s">
        <v>138</v>
      </c>
      <c r="D156" t="s">
        <v>737</v>
      </c>
      <c r="E156" s="68">
        <v>908</v>
      </c>
      <c r="F156" s="68">
        <v>0</v>
      </c>
    </row>
    <row r="157" spans="1:6" x14ac:dyDescent="0.3">
      <c r="A157" t="s">
        <v>588</v>
      </c>
      <c r="B157" t="s">
        <v>130</v>
      </c>
      <c r="C157" t="s">
        <v>140</v>
      </c>
      <c r="D157" t="s">
        <v>739</v>
      </c>
      <c r="E157" s="68">
        <v>468</v>
      </c>
      <c r="F157" s="68">
        <v>0</v>
      </c>
    </row>
    <row r="158" spans="1:6" ht="273.60000000000002" x14ac:dyDescent="0.3">
      <c r="A158" t="s">
        <v>588</v>
      </c>
      <c r="B158" t="s">
        <v>130</v>
      </c>
      <c r="C158" t="s">
        <v>141</v>
      </c>
      <c r="D158" s="141" t="s">
        <v>740</v>
      </c>
      <c r="E158" s="68">
        <v>1375</v>
      </c>
      <c r="F158" s="68">
        <v>0</v>
      </c>
    </row>
    <row r="159" spans="1:6" x14ac:dyDescent="0.3">
      <c r="A159" t="s">
        <v>588</v>
      </c>
      <c r="B159" t="s">
        <v>130</v>
      </c>
      <c r="C159" t="s">
        <v>142</v>
      </c>
      <c r="D159" t="s">
        <v>741</v>
      </c>
      <c r="E159" s="68">
        <v>1650</v>
      </c>
      <c r="F159" s="68">
        <v>0</v>
      </c>
    </row>
    <row r="160" spans="1:6" x14ac:dyDescent="0.3">
      <c r="A160" t="s">
        <v>588</v>
      </c>
      <c r="B160" t="s">
        <v>130</v>
      </c>
      <c r="C160" t="s">
        <v>744</v>
      </c>
      <c r="D160" t="s">
        <v>745</v>
      </c>
      <c r="E160" s="68">
        <v>193</v>
      </c>
      <c r="F160" s="68">
        <v>0</v>
      </c>
    </row>
    <row r="161" spans="1:6" x14ac:dyDescent="0.3">
      <c r="A161" t="s">
        <v>588</v>
      </c>
      <c r="B161" t="s">
        <v>130</v>
      </c>
      <c r="C161" t="s">
        <v>755</v>
      </c>
      <c r="D161" t="s">
        <v>756</v>
      </c>
      <c r="E161" s="68">
        <v>495</v>
      </c>
      <c r="F161" s="68">
        <v>0</v>
      </c>
    </row>
    <row r="162" spans="1:6" x14ac:dyDescent="0.3">
      <c r="A162" t="s">
        <v>588</v>
      </c>
      <c r="B162" t="s">
        <v>130</v>
      </c>
      <c r="C162" t="s">
        <v>762</v>
      </c>
      <c r="D162" t="s">
        <v>763</v>
      </c>
      <c r="E162" s="68">
        <v>605</v>
      </c>
      <c r="F162" s="68">
        <v>0</v>
      </c>
    </row>
    <row r="163" spans="1:6" x14ac:dyDescent="0.3">
      <c r="A163" t="s">
        <v>588</v>
      </c>
      <c r="B163" t="s">
        <v>130</v>
      </c>
      <c r="C163" t="s">
        <v>764</v>
      </c>
      <c r="D163" t="s">
        <v>765</v>
      </c>
      <c r="E163" s="68">
        <v>228</v>
      </c>
      <c r="F163" s="68">
        <v>0</v>
      </c>
    </row>
    <row r="164" spans="1:6" x14ac:dyDescent="0.3">
      <c r="A164" t="s">
        <v>588</v>
      </c>
      <c r="B164" t="s">
        <v>130</v>
      </c>
      <c r="C164" t="s">
        <v>766</v>
      </c>
      <c r="D164" t="s">
        <v>767</v>
      </c>
      <c r="E164" s="68">
        <v>636</v>
      </c>
      <c r="F164" s="68">
        <v>0</v>
      </c>
    </row>
    <row r="165" spans="1:6" x14ac:dyDescent="0.3">
      <c r="A165" t="s">
        <v>588</v>
      </c>
      <c r="B165" t="s">
        <v>130</v>
      </c>
      <c r="C165" t="s">
        <v>768</v>
      </c>
      <c r="D165" t="s">
        <v>769</v>
      </c>
      <c r="E165" s="68">
        <v>825</v>
      </c>
      <c r="F165" s="68">
        <v>0</v>
      </c>
    </row>
    <row r="166" spans="1:6" x14ac:dyDescent="0.3">
      <c r="A166" t="s">
        <v>588</v>
      </c>
      <c r="B166" t="s">
        <v>130</v>
      </c>
      <c r="C166" t="s">
        <v>770</v>
      </c>
      <c r="D166" t="s">
        <v>771</v>
      </c>
      <c r="E166" s="68">
        <v>2613</v>
      </c>
      <c r="F166" s="68">
        <v>0</v>
      </c>
    </row>
    <row r="167" spans="1:6" x14ac:dyDescent="0.3">
      <c r="A167" t="s">
        <v>588</v>
      </c>
      <c r="B167" t="s">
        <v>130</v>
      </c>
      <c r="C167" t="s">
        <v>772</v>
      </c>
      <c r="D167" t="s">
        <v>773</v>
      </c>
      <c r="E167" s="68">
        <v>259</v>
      </c>
      <c r="F167" s="68">
        <v>0</v>
      </c>
    </row>
    <row r="168" spans="1:6" x14ac:dyDescent="0.3">
      <c r="A168" t="s">
        <v>588</v>
      </c>
      <c r="B168" t="s">
        <v>130</v>
      </c>
      <c r="C168" t="s">
        <v>660</v>
      </c>
      <c r="D168" t="s">
        <v>776</v>
      </c>
      <c r="E168" s="68">
        <v>248</v>
      </c>
      <c r="F168" s="68">
        <v>0</v>
      </c>
    </row>
    <row r="169" spans="1:6" x14ac:dyDescent="0.3">
      <c r="A169" t="s">
        <v>588</v>
      </c>
      <c r="B169" t="s">
        <v>130</v>
      </c>
      <c r="C169" t="s">
        <v>779</v>
      </c>
      <c r="D169" t="s">
        <v>780</v>
      </c>
      <c r="E169" s="68">
        <v>1998</v>
      </c>
      <c r="F169" s="68">
        <v>0</v>
      </c>
    </row>
    <row r="170" spans="1:6" ht="72" x14ac:dyDescent="0.3">
      <c r="A170" t="s">
        <v>588</v>
      </c>
      <c r="B170" t="s">
        <v>642</v>
      </c>
      <c r="C170" t="s">
        <v>643</v>
      </c>
      <c r="D170" s="141" t="s">
        <v>644</v>
      </c>
      <c r="E170" s="68">
        <v>918</v>
      </c>
      <c r="F170" s="68">
        <v>0</v>
      </c>
    </row>
    <row r="171" spans="1:6" ht="345.6" x14ac:dyDescent="0.3">
      <c r="A171" t="s">
        <v>588</v>
      </c>
      <c r="B171" t="s">
        <v>13</v>
      </c>
      <c r="C171" t="s">
        <v>14</v>
      </c>
      <c r="D171" s="141" t="s">
        <v>595</v>
      </c>
      <c r="E171" s="68">
        <v>288</v>
      </c>
      <c r="F171" s="68">
        <v>0</v>
      </c>
    </row>
    <row r="172" spans="1:6" ht="345.6" x14ac:dyDescent="0.3">
      <c r="A172" t="s">
        <v>588</v>
      </c>
      <c r="B172" t="s">
        <v>13</v>
      </c>
      <c r="C172" t="s">
        <v>596</v>
      </c>
      <c r="D172" s="141" t="s">
        <v>597</v>
      </c>
      <c r="E172" s="68">
        <v>318</v>
      </c>
      <c r="F172" s="68">
        <v>0</v>
      </c>
    </row>
    <row r="173" spans="1:6" ht="316.8" x14ac:dyDescent="0.3">
      <c r="A173" t="s">
        <v>588</v>
      </c>
      <c r="B173" t="s">
        <v>13</v>
      </c>
      <c r="C173" t="s">
        <v>16</v>
      </c>
      <c r="D173" s="141" t="s">
        <v>598</v>
      </c>
      <c r="E173" s="68">
        <v>238</v>
      </c>
      <c r="F173" s="68">
        <v>0</v>
      </c>
    </row>
    <row r="174" spans="1:6" ht="316.8" x14ac:dyDescent="0.3">
      <c r="A174" t="s">
        <v>588</v>
      </c>
      <c r="B174" t="s">
        <v>13</v>
      </c>
      <c r="C174" t="s">
        <v>17</v>
      </c>
      <c r="D174" s="141" t="s">
        <v>598</v>
      </c>
      <c r="E174" s="68">
        <v>248</v>
      </c>
      <c r="F174" s="68">
        <v>0</v>
      </c>
    </row>
    <row r="175" spans="1:6" ht="302.39999999999998" x14ac:dyDescent="0.3">
      <c r="A175" t="s">
        <v>588</v>
      </c>
      <c r="B175" t="s">
        <v>13</v>
      </c>
      <c r="C175" t="s">
        <v>599</v>
      </c>
      <c r="D175" s="141" t="s">
        <v>600</v>
      </c>
      <c r="E175" s="68">
        <v>458</v>
      </c>
      <c r="F175" s="68">
        <v>0</v>
      </c>
    </row>
    <row r="176" spans="1:6" ht="288" x14ac:dyDescent="0.3">
      <c r="A176" t="s">
        <v>588</v>
      </c>
      <c r="B176" t="s">
        <v>13</v>
      </c>
      <c r="C176" t="s">
        <v>601</v>
      </c>
      <c r="D176" s="141" t="s">
        <v>602</v>
      </c>
      <c r="E176" s="68">
        <v>508</v>
      </c>
      <c r="F176" s="68">
        <v>0</v>
      </c>
    </row>
    <row r="177" spans="1:6" ht="288" x14ac:dyDescent="0.3">
      <c r="A177" t="s">
        <v>588</v>
      </c>
      <c r="B177" t="s">
        <v>13</v>
      </c>
      <c r="C177" t="s">
        <v>603</v>
      </c>
      <c r="D177" s="141" t="s">
        <v>602</v>
      </c>
      <c r="E177" s="68">
        <v>608</v>
      </c>
      <c r="F177" s="68">
        <v>0</v>
      </c>
    </row>
    <row r="178" spans="1:6" ht="288" x14ac:dyDescent="0.3">
      <c r="A178" t="s">
        <v>588</v>
      </c>
      <c r="B178" t="s">
        <v>13</v>
      </c>
      <c r="C178" t="s">
        <v>604</v>
      </c>
      <c r="D178" s="141" t="s">
        <v>605</v>
      </c>
      <c r="E178" s="68">
        <v>438</v>
      </c>
      <c r="F178" s="68">
        <v>0</v>
      </c>
    </row>
    <row r="179" spans="1:6" ht="288" x14ac:dyDescent="0.3">
      <c r="A179" t="s">
        <v>588</v>
      </c>
      <c r="B179" t="s">
        <v>13</v>
      </c>
      <c r="C179" t="s">
        <v>606</v>
      </c>
      <c r="D179" s="141" t="s">
        <v>605</v>
      </c>
      <c r="E179" s="68">
        <v>488</v>
      </c>
      <c r="F179" s="68">
        <v>0</v>
      </c>
    </row>
    <row r="180" spans="1:6" ht="302.39999999999998" x14ac:dyDescent="0.3">
      <c r="A180" t="s">
        <v>588</v>
      </c>
      <c r="B180" t="s">
        <v>13</v>
      </c>
      <c r="C180" t="s">
        <v>88</v>
      </c>
      <c r="D180" s="141" t="s">
        <v>682</v>
      </c>
      <c r="E180" s="68">
        <v>388</v>
      </c>
      <c r="F180" s="68">
        <v>0</v>
      </c>
    </row>
    <row r="181" spans="1:6" x14ac:dyDescent="0.3">
      <c r="A181" t="s">
        <v>588</v>
      </c>
      <c r="B181" t="s">
        <v>823</v>
      </c>
      <c r="C181" t="s">
        <v>824</v>
      </c>
      <c r="D181" t="s">
        <v>825</v>
      </c>
      <c r="E181" s="68">
        <v>0</v>
      </c>
      <c r="F181" s="68">
        <v>0</v>
      </c>
    </row>
    <row r="182" spans="1:6" x14ac:dyDescent="0.3">
      <c r="A182" t="s">
        <v>588</v>
      </c>
      <c r="B182" t="s">
        <v>787</v>
      </c>
      <c r="C182" t="s">
        <v>788</v>
      </c>
      <c r="D182" t="s">
        <v>789</v>
      </c>
      <c r="E182" s="68">
        <v>358</v>
      </c>
      <c r="F182" s="68">
        <v>0</v>
      </c>
    </row>
    <row r="183" spans="1:6" ht="216" x14ac:dyDescent="0.3">
      <c r="A183" t="s">
        <v>588</v>
      </c>
      <c r="B183" t="s">
        <v>757</v>
      </c>
      <c r="C183" t="s">
        <v>758</v>
      </c>
      <c r="D183" s="141" t="s">
        <v>759</v>
      </c>
      <c r="E183" s="68">
        <v>288</v>
      </c>
      <c r="F183" s="68">
        <v>0</v>
      </c>
    </row>
    <row r="184" spans="1:6" x14ac:dyDescent="0.3">
      <c r="A184" t="s">
        <v>588</v>
      </c>
      <c r="B184" t="s">
        <v>757</v>
      </c>
      <c r="C184" t="s">
        <v>797</v>
      </c>
      <c r="D184" t="s">
        <v>798</v>
      </c>
      <c r="E184" s="68">
        <v>288</v>
      </c>
      <c r="F184" s="68">
        <v>0</v>
      </c>
    </row>
    <row r="185" spans="1:6" ht="409.6" x14ac:dyDescent="0.3">
      <c r="A185" t="s">
        <v>588</v>
      </c>
      <c r="B185" t="s">
        <v>6</v>
      </c>
      <c r="C185" t="s">
        <v>30</v>
      </c>
      <c r="D185" s="141" t="s">
        <v>615</v>
      </c>
      <c r="E185" s="68">
        <v>728</v>
      </c>
      <c r="F185" s="68">
        <v>0</v>
      </c>
    </row>
    <row r="186" spans="1:6" ht="409.6" x14ac:dyDescent="0.3">
      <c r="A186" t="s">
        <v>588</v>
      </c>
      <c r="B186" t="s">
        <v>6</v>
      </c>
      <c r="C186" t="s">
        <v>55</v>
      </c>
      <c r="D186" s="141" t="s">
        <v>638</v>
      </c>
      <c r="E186" s="68">
        <v>688</v>
      </c>
      <c r="F186" s="68">
        <v>0</v>
      </c>
    </row>
    <row r="187" spans="1:6" ht="409.6" x14ac:dyDescent="0.3">
      <c r="A187" t="s">
        <v>588</v>
      </c>
      <c r="B187" t="s">
        <v>6</v>
      </c>
      <c r="C187" t="s">
        <v>81</v>
      </c>
      <c r="D187" s="141" t="s">
        <v>615</v>
      </c>
      <c r="E187" s="68">
        <v>1018</v>
      </c>
      <c r="F187" s="68">
        <v>0</v>
      </c>
    </row>
    <row r="188" spans="1:6" x14ac:dyDescent="0.3">
      <c r="A188" t="s">
        <v>588</v>
      </c>
      <c r="B188" t="s">
        <v>6</v>
      </c>
      <c r="C188" t="s">
        <v>124</v>
      </c>
      <c r="D188" t="s">
        <v>721</v>
      </c>
      <c r="E188" s="68">
        <v>698</v>
      </c>
      <c r="F188" s="68">
        <v>0</v>
      </c>
    </row>
    <row r="189" spans="1:6" x14ac:dyDescent="0.3">
      <c r="A189" t="s">
        <v>588</v>
      </c>
      <c r="B189" t="s">
        <v>6</v>
      </c>
      <c r="C189" t="s">
        <v>128</v>
      </c>
      <c r="D189" t="s">
        <v>725</v>
      </c>
      <c r="E189" s="68">
        <v>1118</v>
      </c>
      <c r="F189" s="68">
        <v>0</v>
      </c>
    </row>
    <row r="190" spans="1:6" x14ac:dyDescent="0.3">
      <c r="A190" t="s">
        <v>588</v>
      </c>
      <c r="B190" t="s">
        <v>6</v>
      </c>
      <c r="C190" t="s">
        <v>471</v>
      </c>
      <c r="D190" t="s">
        <v>736</v>
      </c>
      <c r="E190" s="68">
        <v>238</v>
      </c>
      <c r="F190" s="68">
        <v>0</v>
      </c>
    </row>
    <row r="191" spans="1:6" x14ac:dyDescent="0.3">
      <c r="A191" t="s">
        <v>588</v>
      </c>
      <c r="B191" t="s">
        <v>6</v>
      </c>
      <c r="C191" t="s">
        <v>813</v>
      </c>
      <c r="E191" s="68">
        <v>228</v>
      </c>
      <c r="F191" s="68">
        <v>0</v>
      </c>
    </row>
    <row r="192" spans="1:6" ht="409.6" x14ac:dyDescent="0.3">
      <c r="A192" t="s">
        <v>588</v>
      </c>
      <c r="B192" t="s">
        <v>89</v>
      </c>
      <c r="C192" t="s">
        <v>90</v>
      </c>
      <c r="D192" s="141" t="s">
        <v>683</v>
      </c>
      <c r="E192" s="68">
        <v>1868</v>
      </c>
      <c r="F192" s="68">
        <v>0</v>
      </c>
    </row>
    <row r="193" spans="1:6" ht="409.6" x14ac:dyDescent="0.3">
      <c r="A193" t="s">
        <v>588</v>
      </c>
      <c r="B193" t="s">
        <v>89</v>
      </c>
      <c r="C193" t="s">
        <v>91</v>
      </c>
      <c r="D193" s="141" t="s">
        <v>684</v>
      </c>
      <c r="E193" s="68">
        <v>1558</v>
      </c>
      <c r="F193" s="68">
        <v>0</v>
      </c>
    </row>
    <row r="194" spans="1:6" ht="409.6" x14ac:dyDescent="0.3">
      <c r="A194" t="s">
        <v>588</v>
      </c>
      <c r="B194" t="s">
        <v>89</v>
      </c>
      <c r="C194" t="s">
        <v>92</v>
      </c>
      <c r="D194" s="141" t="s">
        <v>685</v>
      </c>
      <c r="E194" s="68">
        <v>2218</v>
      </c>
      <c r="F194" s="68">
        <v>0</v>
      </c>
    </row>
    <row r="195" spans="1:6" ht="409.6" x14ac:dyDescent="0.3">
      <c r="A195" t="s">
        <v>588</v>
      </c>
      <c r="B195" t="s">
        <v>96</v>
      </c>
      <c r="C195" t="s">
        <v>345</v>
      </c>
      <c r="D195" s="141" t="s">
        <v>688</v>
      </c>
      <c r="E195" s="68">
        <v>1868</v>
      </c>
      <c r="F195" s="68">
        <v>0</v>
      </c>
    </row>
    <row r="196" spans="1:6" x14ac:dyDescent="0.3">
      <c r="A196" t="s">
        <v>588</v>
      </c>
      <c r="B196" t="s">
        <v>96</v>
      </c>
      <c r="C196" t="s">
        <v>144</v>
      </c>
      <c r="D196" t="s">
        <v>743</v>
      </c>
      <c r="E196" s="68">
        <v>3698</v>
      </c>
      <c r="F196" s="68">
        <v>0</v>
      </c>
    </row>
    <row r="197" spans="1:6" x14ac:dyDescent="0.3">
      <c r="A197" t="s">
        <v>588</v>
      </c>
      <c r="B197" t="s">
        <v>96</v>
      </c>
      <c r="C197" t="s">
        <v>800</v>
      </c>
      <c r="D197" t="s">
        <v>801</v>
      </c>
      <c r="E197" s="68">
        <v>688</v>
      </c>
      <c r="F197" s="68">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2F493-2CF0-450E-8922-9A732853FF47}">
  <dimension ref="A1:N133"/>
  <sheetViews>
    <sheetView workbookViewId="0">
      <selection activeCell="G19" sqref="G19"/>
    </sheetView>
  </sheetViews>
  <sheetFormatPr defaultRowHeight="14.4" x14ac:dyDescent="0.3"/>
  <cols>
    <col min="1" max="1" width="27.33203125" customWidth="1"/>
    <col min="2" max="2" width="49.33203125" customWidth="1"/>
    <col min="3" max="3" width="13.44140625" customWidth="1"/>
    <col min="4" max="4" width="11.6640625" customWidth="1"/>
    <col min="5" max="5" width="12.109375" customWidth="1"/>
    <col min="6" max="6" width="12.33203125" customWidth="1"/>
    <col min="7" max="7" width="12.6640625" customWidth="1"/>
    <col min="8" max="8" width="11" customWidth="1"/>
    <col min="11" max="11" width="11.5546875" customWidth="1"/>
    <col min="12" max="12" width="10.88671875" customWidth="1"/>
    <col min="13" max="13" width="10.33203125" customWidth="1"/>
    <col min="14" max="14" width="12.33203125" customWidth="1"/>
  </cols>
  <sheetData>
    <row r="1" spans="1:14" x14ac:dyDescent="0.3">
      <c r="A1" s="4" t="s">
        <v>26</v>
      </c>
      <c r="B1" s="2"/>
      <c r="C1" s="3"/>
      <c r="D1" s="10"/>
      <c r="E1" s="11"/>
      <c r="F1" s="33"/>
      <c r="G1" s="15"/>
      <c r="H1" s="33"/>
      <c r="I1" s="32"/>
      <c r="J1" s="18"/>
      <c r="K1" s="21"/>
      <c r="L1" s="24"/>
      <c r="M1" s="27"/>
      <c r="N1" s="30"/>
    </row>
    <row r="2" spans="1:14" x14ac:dyDescent="0.3">
      <c r="A2" s="2" t="s">
        <v>26</v>
      </c>
      <c r="B2" s="2" t="s">
        <v>27</v>
      </c>
      <c r="C2" s="3">
        <v>601.65</v>
      </c>
      <c r="D2" s="10">
        <v>452.48</v>
      </c>
      <c r="E2" s="11">
        <f t="shared" ref="E2:E23" si="0">D2*1.08375</f>
        <v>490.37520000000001</v>
      </c>
      <c r="F2" s="33">
        <v>0</v>
      </c>
      <c r="G2" s="15">
        <v>90</v>
      </c>
      <c r="H2" s="33">
        <f>G2*3.75</f>
        <v>337.5</v>
      </c>
      <c r="I2" s="32">
        <f t="shared" ref="I2:I65" si="1">E2+H2</f>
        <v>827.87519999999995</v>
      </c>
      <c r="J2" s="18">
        <f t="shared" ref="J2:J23" si="2">(C2-I2)/C2</f>
        <v>-0.37600797806033404</v>
      </c>
      <c r="K2" s="21">
        <f t="shared" ref="K2:K23" si="3">I2/0.9</f>
        <v>919.86133333333328</v>
      </c>
      <c r="L2" s="24">
        <f t="shared" ref="L2:L23" si="4">I2/0.85</f>
        <v>973.97082352941175</v>
      </c>
      <c r="M2" s="27">
        <f t="shared" ref="M2:M23" si="5">I2/0.8</f>
        <v>1034.8439999999998</v>
      </c>
      <c r="N2" s="30">
        <f t="shared" ref="N2:N23" si="6">I2/0.75</f>
        <v>1103.8335999999999</v>
      </c>
    </row>
    <row r="3" spans="1:14" x14ac:dyDescent="0.3">
      <c r="A3" s="2" t="s">
        <v>26</v>
      </c>
      <c r="B3" s="2" t="s">
        <v>28</v>
      </c>
      <c r="C3" s="3">
        <v>576.45000000000005</v>
      </c>
      <c r="D3" s="10">
        <v>250.95</v>
      </c>
      <c r="E3" s="11">
        <f t="shared" si="0"/>
        <v>271.9670625</v>
      </c>
      <c r="F3" s="33">
        <v>0</v>
      </c>
      <c r="G3" s="15">
        <v>90</v>
      </c>
      <c r="H3" s="33">
        <f t="shared" ref="H3:H66" si="7">G3*3.75</f>
        <v>337.5</v>
      </c>
      <c r="I3" s="32">
        <f t="shared" si="1"/>
        <v>609.4670625</v>
      </c>
      <c r="J3" s="18">
        <f t="shared" si="2"/>
        <v>-5.7276541764246597E-2</v>
      </c>
      <c r="K3" s="21">
        <f t="shared" si="3"/>
        <v>677.18562499999996</v>
      </c>
      <c r="L3" s="24">
        <f t="shared" si="4"/>
        <v>717.02007352941177</v>
      </c>
      <c r="M3" s="27">
        <f t="shared" si="5"/>
        <v>761.83382812499997</v>
      </c>
      <c r="N3" s="30">
        <f t="shared" si="6"/>
        <v>812.62275</v>
      </c>
    </row>
    <row r="4" spans="1:14" x14ac:dyDescent="0.3">
      <c r="A4" s="2" t="s">
        <v>26</v>
      </c>
      <c r="B4" s="2" t="s">
        <v>29</v>
      </c>
      <c r="C4" s="3">
        <v>486.15</v>
      </c>
      <c r="D4" s="10">
        <v>195.34</v>
      </c>
      <c r="E4" s="11">
        <f t="shared" si="0"/>
        <v>211.699725</v>
      </c>
      <c r="F4" s="33">
        <v>0</v>
      </c>
      <c r="G4" s="15">
        <v>90</v>
      </c>
      <c r="H4" s="33">
        <f t="shared" si="7"/>
        <v>337.5</v>
      </c>
      <c r="I4" s="32">
        <f t="shared" si="1"/>
        <v>549.19972499999994</v>
      </c>
      <c r="J4" s="18">
        <f t="shared" si="2"/>
        <v>-0.12969191607528535</v>
      </c>
      <c r="K4" s="21">
        <f t="shared" si="3"/>
        <v>610.22191666666663</v>
      </c>
      <c r="L4" s="24">
        <f t="shared" si="4"/>
        <v>646.11732352941169</v>
      </c>
      <c r="M4" s="27">
        <f t="shared" si="5"/>
        <v>686.49965624999993</v>
      </c>
      <c r="N4" s="30">
        <f t="shared" si="6"/>
        <v>732.26629999999989</v>
      </c>
    </row>
    <row r="5" spans="1:14" x14ac:dyDescent="0.3">
      <c r="A5" s="2" t="s">
        <v>26</v>
      </c>
      <c r="B5" s="2" t="s">
        <v>43</v>
      </c>
      <c r="C5" s="3">
        <v>229.95</v>
      </c>
      <c r="D5" s="10">
        <v>20.07</v>
      </c>
      <c r="E5" s="11">
        <f t="shared" si="0"/>
        <v>21.7508625</v>
      </c>
      <c r="F5" s="33">
        <v>0</v>
      </c>
      <c r="G5" s="15">
        <v>60</v>
      </c>
      <c r="H5" s="33">
        <f t="shared" si="7"/>
        <v>225</v>
      </c>
      <c r="I5" s="32">
        <f t="shared" si="1"/>
        <v>246.75086250000001</v>
      </c>
      <c r="J5" s="18">
        <f t="shared" si="2"/>
        <v>-7.3063111545988352E-2</v>
      </c>
      <c r="K5" s="21">
        <f t="shared" si="3"/>
        <v>274.16762499999999</v>
      </c>
      <c r="L5" s="24">
        <f t="shared" si="4"/>
        <v>290.29513235294121</v>
      </c>
      <c r="M5" s="27">
        <f t="shared" si="5"/>
        <v>308.43857812499999</v>
      </c>
      <c r="N5" s="30">
        <f t="shared" si="6"/>
        <v>329.00115</v>
      </c>
    </row>
    <row r="6" spans="1:14" x14ac:dyDescent="0.3">
      <c r="A6" s="2" t="s">
        <v>26</v>
      </c>
      <c r="B6" s="2" t="s">
        <v>44</v>
      </c>
      <c r="C6" s="3">
        <v>192.15</v>
      </c>
      <c r="D6" s="10">
        <v>9.0399999999999991</v>
      </c>
      <c r="E6" s="11">
        <f t="shared" si="0"/>
        <v>9.7970999999999986</v>
      </c>
      <c r="F6" s="33">
        <v>0</v>
      </c>
      <c r="G6" s="15">
        <v>30</v>
      </c>
      <c r="H6" s="33">
        <f t="shared" si="7"/>
        <v>112.5</v>
      </c>
      <c r="I6" s="32">
        <f t="shared" si="1"/>
        <v>122.2971</v>
      </c>
      <c r="J6" s="18">
        <f t="shared" si="2"/>
        <v>0.36353317720530837</v>
      </c>
      <c r="K6" s="21">
        <f t="shared" si="3"/>
        <v>135.88566666666665</v>
      </c>
      <c r="L6" s="24">
        <f t="shared" si="4"/>
        <v>143.87894117647059</v>
      </c>
      <c r="M6" s="27">
        <f t="shared" si="5"/>
        <v>152.871375</v>
      </c>
      <c r="N6" s="30">
        <f t="shared" si="6"/>
        <v>163.06280000000001</v>
      </c>
    </row>
    <row r="7" spans="1:14" x14ac:dyDescent="0.3">
      <c r="A7" s="2" t="s">
        <v>26</v>
      </c>
      <c r="B7" s="2" t="s">
        <v>45</v>
      </c>
      <c r="C7" s="3">
        <v>202.65</v>
      </c>
      <c r="D7" s="10">
        <v>10.4</v>
      </c>
      <c r="E7" s="11">
        <f t="shared" si="0"/>
        <v>11.271000000000001</v>
      </c>
      <c r="F7" s="33">
        <v>0</v>
      </c>
      <c r="G7" s="15">
        <v>45</v>
      </c>
      <c r="H7" s="33">
        <f t="shared" si="7"/>
        <v>168.75</v>
      </c>
      <c r="I7" s="32">
        <f t="shared" si="1"/>
        <v>180.02100000000002</v>
      </c>
      <c r="J7" s="18">
        <f t="shared" si="2"/>
        <v>0.11166543301258322</v>
      </c>
      <c r="K7" s="21">
        <f t="shared" si="3"/>
        <v>200.02333333333334</v>
      </c>
      <c r="L7" s="24">
        <f t="shared" si="4"/>
        <v>211.7894117647059</v>
      </c>
      <c r="M7" s="27">
        <f t="shared" si="5"/>
        <v>225.02625</v>
      </c>
      <c r="N7" s="30">
        <f t="shared" si="6"/>
        <v>240.02800000000002</v>
      </c>
    </row>
    <row r="8" spans="1:14" x14ac:dyDescent="0.3">
      <c r="A8" s="2" t="s">
        <v>26</v>
      </c>
      <c r="B8" s="2" t="s">
        <v>51</v>
      </c>
      <c r="C8" s="3">
        <v>183.75</v>
      </c>
      <c r="D8" s="10">
        <v>0</v>
      </c>
      <c r="E8" s="11">
        <f t="shared" si="0"/>
        <v>0</v>
      </c>
      <c r="F8" s="33">
        <v>0</v>
      </c>
      <c r="G8" s="15">
        <v>45</v>
      </c>
      <c r="H8" s="33">
        <f t="shared" si="7"/>
        <v>168.75</v>
      </c>
      <c r="I8" s="32">
        <f t="shared" si="1"/>
        <v>168.75</v>
      </c>
      <c r="J8" s="18">
        <f t="shared" si="2"/>
        <v>8.1632653061224483E-2</v>
      </c>
      <c r="K8" s="21">
        <f t="shared" si="3"/>
        <v>187.5</v>
      </c>
      <c r="L8" s="24">
        <f t="shared" si="4"/>
        <v>198.52941176470588</v>
      </c>
      <c r="M8" s="27">
        <f t="shared" si="5"/>
        <v>210.9375</v>
      </c>
      <c r="N8" s="30">
        <f t="shared" si="6"/>
        <v>225</v>
      </c>
    </row>
    <row r="9" spans="1:14" x14ac:dyDescent="0.3">
      <c r="A9" s="2" t="s">
        <v>26</v>
      </c>
      <c r="B9" s="2" t="s">
        <v>112</v>
      </c>
      <c r="C9" s="3">
        <v>243.6</v>
      </c>
      <c r="D9" s="10">
        <v>46.99</v>
      </c>
      <c r="E9" s="11">
        <f t="shared" si="0"/>
        <v>50.9254125</v>
      </c>
      <c r="F9" s="33">
        <v>0</v>
      </c>
      <c r="G9" s="15">
        <v>45</v>
      </c>
      <c r="H9" s="33">
        <f t="shared" si="7"/>
        <v>168.75</v>
      </c>
      <c r="I9" s="32">
        <f t="shared" si="1"/>
        <v>219.67541249999999</v>
      </c>
      <c r="J9" s="18">
        <f t="shared" si="2"/>
        <v>9.8212592364532031E-2</v>
      </c>
      <c r="K9" s="21">
        <f t="shared" si="3"/>
        <v>244.08379166666666</v>
      </c>
      <c r="L9" s="24">
        <f t="shared" si="4"/>
        <v>258.44166176470588</v>
      </c>
      <c r="M9" s="27">
        <f t="shared" si="5"/>
        <v>274.59426562499999</v>
      </c>
      <c r="N9" s="30">
        <f t="shared" si="6"/>
        <v>292.90055000000001</v>
      </c>
    </row>
    <row r="10" spans="1:14" x14ac:dyDescent="0.3">
      <c r="A10" s="2" t="s">
        <v>26</v>
      </c>
      <c r="B10" s="2" t="s">
        <v>113</v>
      </c>
      <c r="C10" s="3">
        <v>288.75</v>
      </c>
      <c r="D10" s="10">
        <v>0</v>
      </c>
      <c r="E10" s="11">
        <f t="shared" si="0"/>
        <v>0</v>
      </c>
      <c r="F10" s="33">
        <v>0</v>
      </c>
      <c r="G10" s="15">
        <v>45</v>
      </c>
      <c r="H10" s="33">
        <f t="shared" si="7"/>
        <v>168.75</v>
      </c>
      <c r="I10" s="32">
        <f t="shared" si="1"/>
        <v>168.75</v>
      </c>
      <c r="J10" s="18">
        <f t="shared" si="2"/>
        <v>0.41558441558441561</v>
      </c>
      <c r="K10" s="21">
        <f t="shared" si="3"/>
        <v>187.5</v>
      </c>
      <c r="L10" s="24">
        <f t="shared" si="4"/>
        <v>198.52941176470588</v>
      </c>
      <c r="M10" s="27">
        <f t="shared" si="5"/>
        <v>210.9375</v>
      </c>
      <c r="N10" s="30">
        <f t="shared" si="6"/>
        <v>225</v>
      </c>
    </row>
    <row r="11" spans="1:14" x14ac:dyDescent="0.3">
      <c r="A11" s="2" t="s">
        <v>26</v>
      </c>
      <c r="B11" s="2" t="s">
        <v>114</v>
      </c>
      <c r="C11" s="3">
        <v>673.05</v>
      </c>
      <c r="D11" s="10">
        <v>93.63</v>
      </c>
      <c r="E11" s="11">
        <f t="shared" si="0"/>
        <v>101.47151249999999</v>
      </c>
      <c r="F11" s="33">
        <v>0</v>
      </c>
      <c r="G11" s="15">
        <v>120</v>
      </c>
      <c r="H11" s="33">
        <f t="shared" si="7"/>
        <v>450</v>
      </c>
      <c r="I11" s="32">
        <f t="shared" si="1"/>
        <v>551.47151250000002</v>
      </c>
      <c r="J11" s="18">
        <f t="shared" si="2"/>
        <v>0.1806381212391352</v>
      </c>
      <c r="K11" s="21">
        <f t="shared" si="3"/>
        <v>612.74612500000001</v>
      </c>
      <c r="L11" s="24">
        <f t="shared" si="4"/>
        <v>648.79001470588241</v>
      </c>
      <c r="M11" s="27">
        <f t="shared" si="5"/>
        <v>689.33939062499996</v>
      </c>
      <c r="N11" s="30">
        <f t="shared" si="6"/>
        <v>735.29534999999998</v>
      </c>
    </row>
    <row r="12" spans="1:14" x14ac:dyDescent="0.3">
      <c r="A12" s="2" t="s">
        <v>26</v>
      </c>
      <c r="B12" s="2" t="s">
        <v>115</v>
      </c>
      <c r="C12" s="3">
        <v>168</v>
      </c>
      <c r="D12" s="44">
        <v>0</v>
      </c>
      <c r="E12" s="45">
        <f t="shared" si="0"/>
        <v>0</v>
      </c>
      <c r="F12" s="33">
        <v>0</v>
      </c>
      <c r="G12" s="15">
        <v>30</v>
      </c>
      <c r="H12" s="33">
        <f t="shared" si="7"/>
        <v>112.5</v>
      </c>
      <c r="I12" s="32">
        <f t="shared" si="1"/>
        <v>112.5</v>
      </c>
      <c r="J12" s="18">
        <f t="shared" si="2"/>
        <v>0.33035714285714285</v>
      </c>
      <c r="K12" s="21">
        <f t="shared" si="3"/>
        <v>125</v>
      </c>
      <c r="L12" s="24">
        <f t="shared" si="4"/>
        <v>132.35294117647058</v>
      </c>
      <c r="M12" s="27">
        <f t="shared" si="5"/>
        <v>140.625</v>
      </c>
      <c r="N12" s="30">
        <f t="shared" si="6"/>
        <v>150</v>
      </c>
    </row>
    <row r="13" spans="1:14" x14ac:dyDescent="0.3">
      <c r="A13" s="2" t="s">
        <v>26</v>
      </c>
      <c r="B13" s="2" t="s">
        <v>116</v>
      </c>
      <c r="C13" s="3">
        <v>219.45</v>
      </c>
      <c r="D13" s="44">
        <v>0</v>
      </c>
      <c r="E13" s="45">
        <f t="shared" si="0"/>
        <v>0</v>
      </c>
      <c r="F13" s="33">
        <v>0</v>
      </c>
      <c r="G13" s="15">
        <v>45</v>
      </c>
      <c r="H13" s="33">
        <f t="shared" si="7"/>
        <v>168.75</v>
      </c>
      <c r="I13" s="32">
        <f t="shared" si="1"/>
        <v>168.75</v>
      </c>
      <c r="J13" s="18">
        <f t="shared" si="2"/>
        <v>0.23103212576896784</v>
      </c>
      <c r="K13" s="21">
        <f t="shared" si="3"/>
        <v>187.5</v>
      </c>
      <c r="L13" s="24">
        <f t="shared" si="4"/>
        <v>198.52941176470588</v>
      </c>
      <c r="M13" s="27">
        <f t="shared" si="5"/>
        <v>210.9375</v>
      </c>
      <c r="N13" s="30">
        <f t="shared" si="6"/>
        <v>225</v>
      </c>
    </row>
    <row r="14" spans="1:14" x14ac:dyDescent="0.3">
      <c r="A14" s="2" t="s">
        <v>26</v>
      </c>
      <c r="B14" s="2" t="s">
        <v>117</v>
      </c>
      <c r="C14" s="3">
        <v>139.65</v>
      </c>
      <c r="D14" s="44">
        <v>0</v>
      </c>
      <c r="E14" s="45">
        <f t="shared" si="0"/>
        <v>0</v>
      </c>
      <c r="F14" s="33">
        <v>0</v>
      </c>
      <c r="G14" s="15">
        <v>30</v>
      </c>
      <c r="H14" s="33">
        <f t="shared" si="7"/>
        <v>112.5</v>
      </c>
      <c r="I14" s="32">
        <f t="shared" si="1"/>
        <v>112.5</v>
      </c>
      <c r="J14" s="18">
        <f t="shared" si="2"/>
        <v>0.19441460794844256</v>
      </c>
      <c r="K14" s="21">
        <f t="shared" si="3"/>
        <v>125</v>
      </c>
      <c r="L14" s="24">
        <f t="shared" si="4"/>
        <v>132.35294117647058</v>
      </c>
      <c r="M14" s="27">
        <f t="shared" si="5"/>
        <v>140.625</v>
      </c>
      <c r="N14" s="30">
        <f t="shared" si="6"/>
        <v>150</v>
      </c>
    </row>
    <row r="15" spans="1:14" x14ac:dyDescent="0.3">
      <c r="A15" s="2" t="s">
        <v>26</v>
      </c>
      <c r="B15" s="2" t="s">
        <v>118</v>
      </c>
      <c r="C15" s="3">
        <v>259.35000000000002</v>
      </c>
      <c r="D15" s="44">
        <v>0</v>
      </c>
      <c r="E15" s="45">
        <f t="shared" si="0"/>
        <v>0</v>
      </c>
      <c r="F15" s="33">
        <v>0</v>
      </c>
      <c r="G15" s="15">
        <v>50</v>
      </c>
      <c r="H15" s="33">
        <f t="shared" si="7"/>
        <v>187.5</v>
      </c>
      <c r="I15" s="32">
        <f t="shared" si="1"/>
        <v>187.5</v>
      </c>
      <c r="J15" s="18">
        <f t="shared" si="2"/>
        <v>0.2770387507229613</v>
      </c>
      <c r="K15" s="21">
        <f t="shared" si="3"/>
        <v>208.33333333333331</v>
      </c>
      <c r="L15" s="24">
        <f t="shared" si="4"/>
        <v>220.58823529411765</v>
      </c>
      <c r="M15" s="27">
        <f t="shared" si="5"/>
        <v>234.375</v>
      </c>
      <c r="N15" s="30">
        <f t="shared" si="6"/>
        <v>250</v>
      </c>
    </row>
    <row r="16" spans="1:14" x14ac:dyDescent="0.3">
      <c r="A16" s="2" t="s">
        <v>26</v>
      </c>
      <c r="B16" s="2" t="s">
        <v>119</v>
      </c>
      <c r="C16" s="3">
        <v>200.55</v>
      </c>
      <c r="D16" s="43">
        <v>15</v>
      </c>
      <c r="E16" s="11">
        <f t="shared" si="0"/>
        <v>16.256250000000001</v>
      </c>
      <c r="F16" s="33">
        <v>0</v>
      </c>
      <c r="G16" s="15">
        <v>45</v>
      </c>
      <c r="H16" s="33">
        <f t="shared" si="7"/>
        <v>168.75</v>
      </c>
      <c r="I16" s="32">
        <f t="shared" si="1"/>
        <v>185.00624999999999</v>
      </c>
      <c r="J16" s="18">
        <f t="shared" si="2"/>
        <v>7.7505609573672488E-2</v>
      </c>
      <c r="K16" s="21">
        <f t="shared" si="3"/>
        <v>205.5625</v>
      </c>
      <c r="L16" s="24">
        <f t="shared" si="4"/>
        <v>217.65441176470588</v>
      </c>
      <c r="M16" s="27">
        <f t="shared" si="5"/>
        <v>231.25781249999997</v>
      </c>
      <c r="N16" s="30">
        <f t="shared" si="6"/>
        <v>246.67499999999998</v>
      </c>
    </row>
    <row r="17" spans="1:14" x14ac:dyDescent="0.3">
      <c r="A17" s="2" t="s">
        <v>26</v>
      </c>
      <c r="B17" s="2" t="s">
        <v>120</v>
      </c>
      <c r="C17" s="3">
        <v>323.39999999999998</v>
      </c>
      <c r="D17" s="43">
        <v>30</v>
      </c>
      <c r="E17" s="11">
        <f t="shared" si="0"/>
        <v>32.512500000000003</v>
      </c>
      <c r="F17" s="33">
        <v>0</v>
      </c>
      <c r="G17" s="15">
        <v>60</v>
      </c>
      <c r="H17" s="33">
        <f t="shared" si="7"/>
        <v>225</v>
      </c>
      <c r="I17" s="32">
        <f t="shared" si="1"/>
        <v>257.51249999999999</v>
      </c>
      <c r="J17" s="18">
        <f t="shared" si="2"/>
        <v>0.20373376623376621</v>
      </c>
      <c r="K17" s="21">
        <f t="shared" si="3"/>
        <v>286.125</v>
      </c>
      <c r="L17" s="24">
        <f t="shared" si="4"/>
        <v>302.95588235294116</v>
      </c>
      <c r="M17" s="27">
        <f t="shared" si="5"/>
        <v>321.89062499999994</v>
      </c>
      <c r="N17" s="30">
        <f t="shared" si="6"/>
        <v>343.34999999999997</v>
      </c>
    </row>
    <row r="18" spans="1:14" x14ac:dyDescent="0.3">
      <c r="A18" s="2" t="s">
        <v>26</v>
      </c>
      <c r="B18" s="2" t="s">
        <v>121</v>
      </c>
      <c r="C18" s="3">
        <v>221.55</v>
      </c>
      <c r="D18" s="43">
        <v>0</v>
      </c>
      <c r="E18" s="11">
        <f t="shared" si="0"/>
        <v>0</v>
      </c>
      <c r="F18" s="33">
        <v>0</v>
      </c>
      <c r="G18" s="15">
        <v>50</v>
      </c>
      <c r="H18" s="33">
        <f t="shared" si="7"/>
        <v>187.5</v>
      </c>
      <c r="I18" s="32">
        <f t="shared" si="1"/>
        <v>187.5</v>
      </c>
      <c r="J18" s="18">
        <f t="shared" si="2"/>
        <v>0.1536899119837509</v>
      </c>
      <c r="K18" s="21">
        <f t="shared" si="3"/>
        <v>208.33333333333331</v>
      </c>
      <c r="L18" s="24">
        <f t="shared" si="4"/>
        <v>220.58823529411765</v>
      </c>
      <c r="M18" s="27">
        <f t="shared" si="5"/>
        <v>234.375</v>
      </c>
      <c r="N18" s="30">
        <f t="shared" si="6"/>
        <v>250</v>
      </c>
    </row>
    <row r="19" spans="1:14" x14ac:dyDescent="0.3">
      <c r="A19" s="2" t="s">
        <v>26</v>
      </c>
      <c r="B19" s="2" t="s">
        <v>122</v>
      </c>
      <c r="C19" s="3">
        <v>353.85</v>
      </c>
      <c r="D19" s="43">
        <v>0</v>
      </c>
      <c r="E19" s="11">
        <f t="shared" si="0"/>
        <v>0</v>
      </c>
      <c r="F19" s="33">
        <v>0</v>
      </c>
      <c r="G19" s="15">
        <v>1.5</v>
      </c>
      <c r="H19" s="33">
        <f t="shared" si="7"/>
        <v>5.625</v>
      </c>
      <c r="I19" s="32">
        <f t="shared" si="1"/>
        <v>5.625</v>
      </c>
      <c r="J19" s="18">
        <f t="shared" si="2"/>
        <v>0.98410343365832975</v>
      </c>
      <c r="K19" s="21">
        <f t="shared" si="3"/>
        <v>6.25</v>
      </c>
      <c r="L19" s="24">
        <f t="shared" si="4"/>
        <v>6.6176470588235299</v>
      </c>
      <c r="M19" s="27">
        <f t="shared" si="5"/>
        <v>7.03125</v>
      </c>
      <c r="N19" s="30">
        <f t="shared" si="6"/>
        <v>7.5</v>
      </c>
    </row>
    <row r="20" spans="1:14" x14ac:dyDescent="0.3">
      <c r="A20" s="2" t="s">
        <v>26</v>
      </c>
      <c r="B20" s="2" t="s">
        <v>125</v>
      </c>
      <c r="C20" s="3">
        <v>202.65</v>
      </c>
      <c r="D20" s="10">
        <v>10.4</v>
      </c>
      <c r="E20" s="11">
        <f t="shared" si="0"/>
        <v>11.271000000000001</v>
      </c>
      <c r="F20" s="33">
        <v>0</v>
      </c>
      <c r="G20" s="15">
        <v>1</v>
      </c>
      <c r="H20" s="33">
        <f t="shared" si="7"/>
        <v>3.75</v>
      </c>
      <c r="I20" s="32">
        <f t="shared" si="1"/>
        <v>15.021000000000001</v>
      </c>
      <c r="J20" s="18">
        <f t="shared" si="2"/>
        <v>0.92587712805329392</v>
      </c>
      <c r="K20" s="21">
        <f t="shared" si="3"/>
        <v>16.690000000000001</v>
      </c>
      <c r="L20" s="24">
        <f t="shared" si="4"/>
        <v>17.671764705882353</v>
      </c>
      <c r="M20" s="27">
        <f t="shared" si="5"/>
        <v>18.776250000000001</v>
      </c>
      <c r="N20" s="30">
        <f t="shared" si="6"/>
        <v>20.028000000000002</v>
      </c>
    </row>
    <row r="21" spans="1:14" x14ac:dyDescent="0.3">
      <c r="A21" s="2" t="s">
        <v>26</v>
      </c>
      <c r="B21" s="2" t="s">
        <v>129</v>
      </c>
      <c r="C21" s="3">
        <v>205.43</v>
      </c>
      <c r="D21" s="43">
        <v>0</v>
      </c>
      <c r="E21" s="11">
        <f t="shared" si="0"/>
        <v>0</v>
      </c>
      <c r="F21" s="33">
        <v>0</v>
      </c>
      <c r="G21" s="15">
        <v>1</v>
      </c>
      <c r="H21" s="33">
        <f t="shared" si="7"/>
        <v>3.75</v>
      </c>
      <c r="I21" s="32">
        <f t="shared" si="1"/>
        <v>3.75</v>
      </c>
      <c r="J21" s="18">
        <f t="shared" si="2"/>
        <v>0.98174560677603073</v>
      </c>
      <c r="K21" s="21">
        <f t="shared" si="3"/>
        <v>4.166666666666667</v>
      </c>
      <c r="L21" s="24">
        <f t="shared" si="4"/>
        <v>4.4117647058823533</v>
      </c>
      <c r="M21" s="27">
        <f t="shared" si="5"/>
        <v>4.6875</v>
      </c>
      <c r="N21" s="30">
        <f t="shared" si="6"/>
        <v>5</v>
      </c>
    </row>
    <row r="22" spans="1:14" x14ac:dyDescent="0.3">
      <c r="A22" s="2" t="s">
        <v>26</v>
      </c>
      <c r="B22" s="2" t="s">
        <v>24</v>
      </c>
      <c r="C22" s="3">
        <v>243.6</v>
      </c>
      <c r="D22" s="10">
        <v>46.99</v>
      </c>
      <c r="E22" s="11">
        <f t="shared" si="0"/>
        <v>50.9254125</v>
      </c>
      <c r="F22" s="33">
        <v>0</v>
      </c>
      <c r="G22" s="15">
        <v>1</v>
      </c>
      <c r="H22" s="33">
        <f t="shared" si="7"/>
        <v>3.75</v>
      </c>
      <c r="I22" s="32">
        <f t="shared" si="1"/>
        <v>54.6754125</v>
      </c>
      <c r="J22" s="18">
        <f t="shared" si="2"/>
        <v>0.77555249384236458</v>
      </c>
      <c r="K22" s="21">
        <f t="shared" si="3"/>
        <v>60.750458333333334</v>
      </c>
      <c r="L22" s="24">
        <f t="shared" si="4"/>
        <v>64.324014705882348</v>
      </c>
      <c r="M22" s="27">
        <f t="shared" si="5"/>
        <v>68.344265624999991</v>
      </c>
      <c r="N22" s="30">
        <f t="shared" si="6"/>
        <v>72.900549999999996</v>
      </c>
    </row>
    <row r="23" spans="1:14" x14ac:dyDescent="0.3">
      <c r="A23" s="2" t="s">
        <v>26</v>
      </c>
      <c r="B23" s="2" t="s">
        <v>145</v>
      </c>
      <c r="C23" s="3">
        <v>425</v>
      </c>
      <c r="D23" s="43">
        <v>0</v>
      </c>
      <c r="E23" s="11">
        <f t="shared" si="0"/>
        <v>0</v>
      </c>
      <c r="F23" s="33">
        <v>0</v>
      </c>
      <c r="G23" s="15">
        <v>2</v>
      </c>
      <c r="H23" s="33">
        <f t="shared" si="7"/>
        <v>7.5</v>
      </c>
      <c r="I23" s="32">
        <f t="shared" si="1"/>
        <v>7.5</v>
      </c>
      <c r="J23" s="18">
        <f t="shared" si="2"/>
        <v>0.98235294117647054</v>
      </c>
      <c r="K23" s="21">
        <f t="shared" si="3"/>
        <v>8.3333333333333339</v>
      </c>
      <c r="L23" s="24">
        <f t="shared" si="4"/>
        <v>8.8235294117647065</v>
      </c>
      <c r="M23" s="27">
        <f t="shared" si="5"/>
        <v>9.375</v>
      </c>
      <c r="N23" s="30">
        <f t="shared" si="6"/>
        <v>10</v>
      </c>
    </row>
    <row r="24" spans="1:14" x14ac:dyDescent="0.3">
      <c r="A24" s="4" t="s">
        <v>150</v>
      </c>
      <c r="B24" s="2"/>
      <c r="C24" s="3"/>
      <c r="D24" s="10"/>
      <c r="E24" s="11"/>
      <c r="F24" s="33"/>
      <c r="G24" s="15"/>
      <c r="H24" s="33">
        <f t="shared" si="7"/>
        <v>0</v>
      </c>
      <c r="I24" s="32">
        <f t="shared" si="1"/>
        <v>0</v>
      </c>
      <c r="J24" s="18"/>
      <c r="K24" s="21"/>
      <c r="L24" s="24"/>
      <c r="M24" s="27"/>
      <c r="N24" s="30"/>
    </row>
    <row r="25" spans="1:14" x14ac:dyDescent="0.3">
      <c r="A25" s="2" t="s">
        <v>35</v>
      </c>
      <c r="B25" s="2" t="s">
        <v>36</v>
      </c>
      <c r="C25" s="3">
        <v>236.25</v>
      </c>
      <c r="D25" s="43">
        <v>0</v>
      </c>
      <c r="E25" s="11">
        <f>D25*1.08375</f>
        <v>0</v>
      </c>
      <c r="F25" s="33">
        <v>0</v>
      </c>
      <c r="G25" s="15">
        <v>1</v>
      </c>
      <c r="H25" s="33">
        <f t="shared" si="7"/>
        <v>3.75</v>
      </c>
      <c r="I25" s="32">
        <f t="shared" si="1"/>
        <v>3.75</v>
      </c>
      <c r="J25" s="18">
        <f>(C25-I25)/C25</f>
        <v>0.98412698412698407</v>
      </c>
      <c r="K25" s="21">
        <f>I25/0.9</f>
        <v>4.166666666666667</v>
      </c>
      <c r="L25" s="24">
        <f>I25/0.85</f>
        <v>4.4117647058823533</v>
      </c>
      <c r="M25" s="27">
        <f>I25/0.8</f>
        <v>4.6875</v>
      </c>
      <c r="N25" s="30">
        <f>I25/0.75</f>
        <v>5</v>
      </c>
    </row>
    <row r="26" spans="1:14" x14ac:dyDescent="0.3">
      <c r="A26" s="2" t="s">
        <v>35</v>
      </c>
      <c r="B26" s="2" t="s">
        <v>102</v>
      </c>
      <c r="C26" s="3">
        <v>404.25</v>
      </c>
      <c r="D26" s="43">
        <v>0</v>
      </c>
      <c r="E26" s="11">
        <f>D26*1.08375</f>
        <v>0</v>
      </c>
      <c r="F26" s="33">
        <v>0</v>
      </c>
      <c r="G26" s="15">
        <v>1.5</v>
      </c>
      <c r="H26" s="33">
        <f t="shared" si="7"/>
        <v>5.625</v>
      </c>
      <c r="I26" s="32">
        <f t="shared" si="1"/>
        <v>5.625</v>
      </c>
      <c r="J26" s="18">
        <f>(C26-I26)/C26</f>
        <v>0.98608534322820041</v>
      </c>
      <c r="K26" s="21">
        <f>I26/0.9</f>
        <v>6.25</v>
      </c>
      <c r="L26" s="24">
        <f>I26/0.85</f>
        <v>6.6176470588235299</v>
      </c>
      <c r="M26" s="27">
        <f>I26/0.8</f>
        <v>7.03125</v>
      </c>
      <c r="N26" s="30">
        <f>I26/0.75</f>
        <v>7.5</v>
      </c>
    </row>
    <row r="27" spans="1:14" x14ac:dyDescent="0.3">
      <c r="A27" s="4" t="s">
        <v>10</v>
      </c>
      <c r="B27" s="2"/>
      <c r="C27" s="3"/>
      <c r="D27" s="10"/>
      <c r="E27" s="11"/>
      <c r="F27" s="33"/>
      <c r="G27" s="15"/>
      <c r="H27" s="33">
        <f t="shared" si="7"/>
        <v>0</v>
      </c>
      <c r="I27" s="32">
        <f t="shared" si="1"/>
        <v>0</v>
      </c>
      <c r="J27" s="18"/>
      <c r="K27" s="21"/>
      <c r="L27" s="24"/>
      <c r="M27" s="27"/>
      <c r="N27" s="30"/>
    </row>
    <row r="28" spans="1:14" x14ac:dyDescent="0.3">
      <c r="A28" s="2" t="s">
        <v>10</v>
      </c>
      <c r="B28" s="2" t="s">
        <v>11</v>
      </c>
      <c r="C28" s="3">
        <v>551.25</v>
      </c>
      <c r="D28" s="43">
        <v>0</v>
      </c>
      <c r="E28" s="11">
        <f>D28*1.08375</f>
        <v>0</v>
      </c>
      <c r="F28" s="33">
        <v>0</v>
      </c>
      <c r="G28" s="15">
        <v>2.5</v>
      </c>
      <c r="H28" s="33">
        <f t="shared" si="7"/>
        <v>9.375</v>
      </c>
      <c r="I28" s="32">
        <f t="shared" si="1"/>
        <v>9.375</v>
      </c>
      <c r="J28" s="18">
        <f>(C28-I28)/C28</f>
        <v>0.98299319727891155</v>
      </c>
      <c r="K28" s="21">
        <f>I28/0.9</f>
        <v>10.416666666666666</v>
      </c>
      <c r="L28" s="24">
        <f>I28/0.85</f>
        <v>11.029411764705882</v>
      </c>
      <c r="M28" s="27">
        <f>I28/0.8</f>
        <v>11.71875</v>
      </c>
      <c r="N28" s="30">
        <f>I28/0.75</f>
        <v>12.5</v>
      </c>
    </row>
    <row r="29" spans="1:14" x14ac:dyDescent="0.3">
      <c r="A29" s="2" t="s">
        <v>10</v>
      </c>
      <c r="B29" s="2" t="s">
        <v>12</v>
      </c>
      <c r="C29" s="3">
        <v>288.75</v>
      </c>
      <c r="D29" s="43">
        <v>0</v>
      </c>
      <c r="E29" s="11">
        <f>D29*1.08375</f>
        <v>0</v>
      </c>
      <c r="F29" s="33">
        <v>0</v>
      </c>
      <c r="G29" s="15">
        <v>2</v>
      </c>
      <c r="H29" s="33">
        <f t="shared" si="7"/>
        <v>7.5</v>
      </c>
      <c r="I29" s="32">
        <f t="shared" si="1"/>
        <v>7.5</v>
      </c>
      <c r="J29" s="18">
        <f>(C29-I29)/C29</f>
        <v>0.97402597402597402</v>
      </c>
      <c r="K29" s="21">
        <f>I29/0.9</f>
        <v>8.3333333333333339</v>
      </c>
      <c r="L29" s="24">
        <f>I29/0.85</f>
        <v>8.8235294117647065</v>
      </c>
      <c r="M29" s="27">
        <f>I29/0.8</f>
        <v>9.375</v>
      </c>
      <c r="N29" s="30">
        <f>I29/0.75</f>
        <v>10</v>
      </c>
    </row>
    <row r="30" spans="1:14" x14ac:dyDescent="0.3">
      <c r="A30" s="4" t="s">
        <v>0</v>
      </c>
      <c r="B30" s="2"/>
      <c r="C30" s="3"/>
      <c r="D30" s="10"/>
      <c r="E30" s="11"/>
      <c r="F30" s="33"/>
      <c r="G30" s="15"/>
      <c r="H30" s="33">
        <f t="shared" si="7"/>
        <v>0</v>
      </c>
      <c r="I30" s="32">
        <f t="shared" si="1"/>
        <v>0</v>
      </c>
      <c r="J30" s="18"/>
      <c r="K30" s="21"/>
      <c r="L30" s="24"/>
      <c r="M30" s="27"/>
      <c r="N30" s="30"/>
    </row>
    <row r="31" spans="1:14" x14ac:dyDescent="0.3">
      <c r="A31" s="2" t="s">
        <v>0</v>
      </c>
      <c r="B31" s="2" t="s">
        <v>1</v>
      </c>
      <c r="C31" s="3">
        <v>158</v>
      </c>
      <c r="D31" s="44">
        <v>0</v>
      </c>
      <c r="E31" s="45">
        <f t="shared" ref="E31:E39" si="8">D31*1.08375</f>
        <v>0</v>
      </c>
      <c r="F31" s="33">
        <v>0</v>
      </c>
      <c r="G31" s="15">
        <v>1</v>
      </c>
      <c r="H31" s="33">
        <f t="shared" si="7"/>
        <v>3.75</v>
      </c>
      <c r="I31" s="32">
        <f t="shared" si="1"/>
        <v>3.75</v>
      </c>
      <c r="J31" s="18">
        <f t="shared" ref="J31:J39" si="9">(C31-I31)/C31</f>
        <v>0.97626582278481011</v>
      </c>
      <c r="K31" s="21">
        <f t="shared" ref="K31:K39" si="10">I31/0.9</f>
        <v>4.166666666666667</v>
      </c>
      <c r="L31" s="24">
        <f t="shared" ref="L31:L39" si="11">I31/0.85</f>
        <v>4.4117647058823533</v>
      </c>
      <c r="M31" s="27">
        <f t="shared" ref="M31:M39" si="12">I31/0.8</f>
        <v>4.6875</v>
      </c>
      <c r="N31" s="30">
        <f t="shared" ref="N31:N39" si="13">I31/0.75</f>
        <v>5</v>
      </c>
    </row>
    <row r="32" spans="1:14" x14ac:dyDescent="0.3">
      <c r="A32" s="2" t="s">
        <v>0</v>
      </c>
      <c r="B32" s="2" t="s">
        <v>2</v>
      </c>
      <c r="C32" s="3">
        <v>238</v>
      </c>
      <c r="D32" s="44">
        <v>0</v>
      </c>
      <c r="E32" s="45">
        <f t="shared" si="8"/>
        <v>0</v>
      </c>
      <c r="F32" s="33">
        <v>0</v>
      </c>
      <c r="G32" s="15">
        <v>1</v>
      </c>
      <c r="H32" s="33">
        <f t="shared" si="7"/>
        <v>3.75</v>
      </c>
      <c r="I32" s="32">
        <f t="shared" si="1"/>
        <v>3.75</v>
      </c>
      <c r="J32" s="18">
        <f t="shared" si="9"/>
        <v>0.98424369747899154</v>
      </c>
      <c r="K32" s="21">
        <f t="shared" si="10"/>
        <v>4.166666666666667</v>
      </c>
      <c r="L32" s="24">
        <f t="shared" si="11"/>
        <v>4.4117647058823533</v>
      </c>
      <c r="M32" s="27">
        <f t="shared" si="12"/>
        <v>4.6875</v>
      </c>
      <c r="N32" s="30">
        <f t="shared" si="13"/>
        <v>5</v>
      </c>
    </row>
    <row r="33" spans="1:14" x14ac:dyDescent="0.3">
      <c r="A33" s="2" t="s">
        <v>0</v>
      </c>
      <c r="B33" s="2" t="s">
        <v>8</v>
      </c>
      <c r="C33" s="3">
        <v>158</v>
      </c>
      <c r="D33" s="44">
        <v>0</v>
      </c>
      <c r="E33" s="45">
        <f t="shared" si="8"/>
        <v>0</v>
      </c>
      <c r="F33" s="33">
        <v>0</v>
      </c>
      <c r="G33" s="15">
        <v>1</v>
      </c>
      <c r="H33" s="33">
        <f t="shared" si="7"/>
        <v>3.75</v>
      </c>
      <c r="I33" s="32">
        <f t="shared" si="1"/>
        <v>3.75</v>
      </c>
      <c r="J33" s="18">
        <f t="shared" si="9"/>
        <v>0.97626582278481011</v>
      </c>
      <c r="K33" s="21">
        <f t="shared" si="10"/>
        <v>4.166666666666667</v>
      </c>
      <c r="L33" s="24">
        <f t="shared" si="11"/>
        <v>4.4117647058823533</v>
      </c>
      <c r="M33" s="27">
        <f t="shared" si="12"/>
        <v>4.6875</v>
      </c>
      <c r="N33" s="30">
        <f t="shared" si="13"/>
        <v>5</v>
      </c>
    </row>
    <row r="34" spans="1:14" x14ac:dyDescent="0.3">
      <c r="A34" s="2" t="s">
        <v>0</v>
      </c>
      <c r="B34" s="2" t="s">
        <v>9</v>
      </c>
      <c r="C34" s="3">
        <v>298</v>
      </c>
      <c r="D34" s="44">
        <v>0</v>
      </c>
      <c r="E34" s="45">
        <f t="shared" si="8"/>
        <v>0</v>
      </c>
      <c r="F34" s="33">
        <v>0</v>
      </c>
      <c r="G34" s="15">
        <v>1.5</v>
      </c>
      <c r="H34" s="33">
        <f t="shared" si="7"/>
        <v>5.625</v>
      </c>
      <c r="I34" s="32">
        <f t="shared" si="1"/>
        <v>5.625</v>
      </c>
      <c r="J34" s="18">
        <f t="shared" si="9"/>
        <v>0.9811241610738255</v>
      </c>
      <c r="K34" s="21">
        <f t="shared" si="10"/>
        <v>6.25</v>
      </c>
      <c r="L34" s="24">
        <f t="shared" si="11"/>
        <v>6.6176470588235299</v>
      </c>
      <c r="M34" s="27">
        <f t="shared" si="12"/>
        <v>7.03125</v>
      </c>
      <c r="N34" s="30">
        <f t="shared" si="13"/>
        <v>7.5</v>
      </c>
    </row>
    <row r="35" spans="1:14" x14ac:dyDescent="0.3">
      <c r="A35" s="2" t="s">
        <v>0</v>
      </c>
      <c r="B35" s="2" t="s">
        <v>100</v>
      </c>
      <c r="C35" s="3">
        <v>298</v>
      </c>
      <c r="D35" s="44">
        <v>0</v>
      </c>
      <c r="E35" s="45">
        <f t="shared" si="8"/>
        <v>0</v>
      </c>
      <c r="F35" s="33">
        <v>0</v>
      </c>
      <c r="G35" s="15">
        <v>1.5</v>
      </c>
      <c r="H35" s="33">
        <f t="shared" si="7"/>
        <v>5.625</v>
      </c>
      <c r="I35" s="32">
        <f t="shared" si="1"/>
        <v>5.625</v>
      </c>
      <c r="J35" s="18">
        <f t="shared" si="9"/>
        <v>0.9811241610738255</v>
      </c>
      <c r="K35" s="21">
        <f t="shared" si="10"/>
        <v>6.25</v>
      </c>
      <c r="L35" s="24">
        <f t="shared" si="11"/>
        <v>6.6176470588235299</v>
      </c>
      <c r="M35" s="27">
        <f t="shared" si="12"/>
        <v>7.03125</v>
      </c>
      <c r="N35" s="30">
        <f t="shared" si="13"/>
        <v>7.5</v>
      </c>
    </row>
    <row r="36" spans="1:14" x14ac:dyDescent="0.3">
      <c r="A36" s="2" t="s">
        <v>0</v>
      </c>
      <c r="B36" s="2" t="s">
        <v>101</v>
      </c>
      <c r="C36" s="3">
        <v>398</v>
      </c>
      <c r="D36" s="44">
        <v>0</v>
      </c>
      <c r="E36" s="45">
        <f t="shared" si="8"/>
        <v>0</v>
      </c>
      <c r="F36" s="33">
        <v>0</v>
      </c>
      <c r="G36" s="15">
        <v>2</v>
      </c>
      <c r="H36" s="33">
        <f t="shared" si="7"/>
        <v>7.5</v>
      </c>
      <c r="I36" s="32">
        <f t="shared" si="1"/>
        <v>7.5</v>
      </c>
      <c r="J36" s="18">
        <f t="shared" si="9"/>
        <v>0.98115577889447236</v>
      </c>
      <c r="K36" s="21">
        <f t="shared" si="10"/>
        <v>8.3333333333333339</v>
      </c>
      <c r="L36" s="24">
        <f t="shared" si="11"/>
        <v>8.8235294117647065</v>
      </c>
      <c r="M36" s="27">
        <f t="shared" si="12"/>
        <v>9.375</v>
      </c>
      <c r="N36" s="30">
        <f t="shared" si="13"/>
        <v>10</v>
      </c>
    </row>
    <row r="37" spans="1:14" x14ac:dyDescent="0.3">
      <c r="A37" s="2" t="s">
        <v>0</v>
      </c>
      <c r="B37" s="2" t="s">
        <v>126</v>
      </c>
      <c r="C37" s="3">
        <v>388</v>
      </c>
      <c r="D37" s="44">
        <v>0</v>
      </c>
      <c r="E37" s="45">
        <f t="shared" si="8"/>
        <v>0</v>
      </c>
      <c r="F37" s="33">
        <v>0</v>
      </c>
      <c r="G37" s="15">
        <v>2</v>
      </c>
      <c r="H37" s="33">
        <f t="shared" si="7"/>
        <v>7.5</v>
      </c>
      <c r="I37" s="32">
        <f t="shared" si="1"/>
        <v>7.5</v>
      </c>
      <c r="J37" s="18">
        <f t="shared" si="9"/>
        <v>0.98067010309278346</v>
      </c>
      <c r="K37" s="21">
        <f t="shared" si="10"/>
        <v>8.3333333333333339</v>
      </c>
      <c r="L37" s="24">
        <f t="shared" si="11"/>
        <v>8.8235294117647065</v>
      </c>
      <c r="M37" s="27">
        <f t="shared" si="12"/>
        <v>9.375</v>
      </c>
      <c r="N37" s="30">
        <f t="shared" si="13"/>
        <v>10</v>
      </c>
    </row>
    <row r="38" spans="1:14" x14ac:dyDescent="0.3">
      <c r="A38" s="2" t="s">
        <v>0</v>
      </c>
      <c r="B38" s="2" t="s">
        <v>127</v>
      </c>
      <c r="C38" s="3">
        <v>228</v>
      </c>
      <c r="D38" s="44">
        <v>0</v>
      </c>
      <c r="E38" s="45">
        <f t="shared" si="8"/>
        <v>0</v>
      </c>
      <c r="F38" s="33">
        <v>0</v>
      </c>
      <c r="G38" s="15">
        <v>1</v>
      </c>
      <c r="H38" s="33">
        <f t="shared" si="7"/>
        <v>3.75</v>
      </c>
      <c r="I38" s="32">
        <f t="shared" si="1"/>
        <v>3.75</v>
      </c>
      <c r="J38" s="18">
        <f t="shared" si="9"/>
        <v>0.98355263157894735</v>
      </c>
      <c r="K38" s="21">
        <f t="shared" si="10"/>
        <v>4.166666666666667</v>
      </c>
      <c r="L38" s="24">
        <f t="shared" si="11"/>
        <v>4.4117647058823533</v>
      </c>
      <c r="M38" s="27">
        <f t="shared" si="12"/>
        <v>4.6875</v>
      </c>
      <c r="N38" s="30">
        <f t="shared" si="13"/>
        <v>5</v>
      </c>
    </row>
    <row r="39" spans="1:14" x14ac:dyDescent="0.3">
      <c r="A39" s="2" t="s">
        <v>0</v>
      </c>
      <c r="B39" s="2" t="s">
        <v>139</v>
      </c>
      <c r="C39" s="3">
        <v>265</v>
      </c>
      <c r="D39" s="43">
        <v>0</v>
      </c>
      <c r="E39" s="11">
        <f t="shared" si="8"/>
        <v>0</v>
      </c>
      <c r="F39" s="33">
        <v>0</v>
      </c>
      <c r="G39" s="15">
        <v>1</v>
      </c>
      <c r="H39" s="33">
        <f t="shared" si="7"/>
        <v>3.75</v>
      </c>
      <c r="I39" s="32">
        <f t="shared" si="1"/>
        <v>3.75</v>
      </c>
      <c r="J39" s="18">
        <f t="shared" si="9"/>
        <v>0.98584905660377353</v>
      </c>
      <c r="K39" s="21">
        <f t="shared" si="10"/>
        <v>4.166666666666667</v>
      </c>
      <c r="L39" s="24">
        <f t="shared" si="11"/>
        <v>4.4117647058823533</v>
      </c>
      <c r="M39" s="27">
        <f t="shared" si="12"/>
        <v>4.6875</v>
      </c>
      <c r="N39" s="30">
        <f t="shared" si="13"/>
        <v>5</v>
      </c>
    </row>
    <row r="40" spans="1:14" x14ac:dyDescent="0.3">
      <c r="A40" s="4" t="s">
        <v>3</v>
      </c>
      <c r="B40" s="2"/>
      <c r="C40" s="3"/>
      <c r="D40" s="10"/>
      <c r="E40" s="11"/>
      <c r="F40" s="33"/>
      <c r="G40" s="15"/>
      <c r="H40" s="33">
        <f t="shared" si="7"/>
        <v>0</v>
      </c>
      <c r="I40" s="32">
        <f t="shared" si="1"/>
        <v>0</v>
      </c>
      <c r="J40" s="18"/>
      <c r="K40" s="21"/>
      <c r="L40" s="24"/>
      <c r="M40" s="27"/>
      <c r="N40" s="30"/>
    </row>
    <row r="41" spans="1:14" x14ac:dyDescent="0.3">
      <c r="A41" s="2" t="s">
        <v>3</v>
      </c>
      <c r="B41" s="2" t="s">
        <v>46</v>
      </c>
      <c r="C41" s="3">
        <v>288.75</v>
      </c>
      <c r="D41" s="10">
        <v>66.08</v>
      </c>
      <c r="E41" s="11">
        <f>D41*1.08375</f>
        <v>71.614199999999997</v>
      </c>
      <c r="F41" s="33">
        <v>0</v>
      </c>
      <c r="G41" s="15">
        <v>1</v>
      </c>
      <c r="H41" s="33">
        <f t="shared" si="7"/>
        <v>3.75</v>
      </c>
      <c r="I41" s="32">
        <f t="shared" si="1"/>
        <v>75.364199999999997</v>
      </c>
      <c r="J41" s="18">
        <f>(C41-I41)/C41</f>
        <v>0.73899844155844163</v>
      </c>
      <c r="K41" s="21">
        <f>I41/0.9</f>
        <v>83.738</v>
      </c>
      <c r="L41" s="24">
        <f>I41/0.85</f>
        <v>88.663764705882357</v>
      </c>
      <c r="M41" s="27">
        <f>I41/0.8</f>
        <v>94.205249999999992</v>
      </c>
      <c r="N41" s="30">
        <f>I41/0.75</f>
        <v>100.48559999999999</v>
      </c>
    </row>
    <row r="42" spans="1:14" x14ac:dyDescent="0.3">
      <c r="A42" s="2" t="s">
        <v>3</v>
      </c>
      <c r="B42" s="2" t="s">
        <v>4</v>
      </c>
      <c r="C42" s="3">
        <v>352.8</v>
      </c>
      <c r="D42" s="10">
        <v>78.98</v>
      </c>
      <c r="E42" s="11">
        <f>D42*1.08375</f>
        <v>85.594575000000006</v>
      </c>
      <c r="F42" s="33">
        <v>0</v>
      </c>
      <c r="G42" s="15">
        <v>1</v>
      </c>
      <c r="H42" s="33">
        <f t="shared" si="7"/>
        <v>3.75</v>
      </c>
      <c r="I42" s="32">
        <f t="shared" si="1"/>
        <v>89.344575000000006</v>
      </c>
      <c r="J42" s="18">
        <f>(C42-I42)/C42</f>
        <v>0.74675573979591836</v>
      </c>
      <c r="K42" s="21">
        <f>I42/0.9</f>
        <v>99.271749999999997</v>
      </c>
      <c r="L42" s="24">
        <f>I42/0.85</f>
        <v>105.11126470588236</v>
      </c>
      <c r="M42" s="27">
        <f>I42/0.8</f>
        <v>111.68071875</v>
      </c>
      <c r="N42" s="30">
        <f>I42/0.75</f>
        <v>119.12610000000001</v>
      </c>
    </row>
    <row r="43" spans="1:14" x14ac:dyDescent="0.3">
      <c r="A43" s="2" t="s">
        <v>3</v>
      </c>
      <c r="B43" s="2" t="s">
        <v>5</v>
      </c>
      <c r="C43" s="3">
        <v>510.3</v>
      </c>
      <c r="D43" s="10">
        <v>163.13</v>
      </c>
      <c r="E43" s="11">
        <f>D43*1.08375</f>
        <v>176.7921375</v>
      </c>
      <c r="F43" s="33">
        <v>0</v>
      </c>
      <c r="G43" s="15">
        <v>1</v>
      </c>
      <c r="H43" s="33">
        <f t="shared" si="7"/>
        <v>3.75</v>
      </c>
      <c r="I43" s="32">
        <f t="shared" si="1"/>
        <v>180.5421375</v>
      </c>
      <c r="J43" s="18">
        <f>(C43-I43)/C43</f>
        <v>0.64620392416225747</v>
      </c>
      <c r="K43" s="21">
        <f>I43/0.9</f>
        <v>200.60237499999999</v>
      </c>
      <c r="L43" s="24">
        <f>I43/0.85</f>
        <v>212.40251470588234</v>
      </c>
      <c r="M43" s="27">
        <f>I43/0.8</f>
        <v>225.67767187499999</v>
      </c>
      <c r="N43" s="30">
        <f>I43/0.75</f>
        <v>240.72284999999999</v>
      </c>
    </row>
    <row r="44" spans="1:14" x14ac:dyDescent="0.3">
      <c r="A44" s="2" t="s">
        <v>274</v>
      </c>
      <c r="B44" s="2" t="s">
        <v>275</v>
      </c>
      <c r="C44" s="3">
        <v>565.28</v>
      </c>
      <c r="D44" s="10">
        <v>190.33</v>
      </c>
      <c r="E44" s="11">
        <f>D44*1.08375</f>
        <v>206.2701375</v>
      </c>
      <c r="F44" s="33">
        <v>0</v>
      </c>
      <c r="G44" s="15">
        <v>1</v>
      </c>
      <c r="H44" s="33">
        <f t="shared" si="7"/>
        <v>3.75</v>
      </c>
      <c r="I44" s="32">
        <f t="shared" si="1"/>
        <v>210.0201375</v>
      </c>
      <c r="J44" s="18">
        <f>(C44-I44)/C44</f>
        <v>0.62846706499433902</v>
      </c>
      <c r="K44" s="21">
        <f>I44/0.9</f>
        <v>233.35570833333333</v>
      </c>
      <c r="L44" s="24">
        <f>I44/0.85</f>
        <v>247.08251470588237</v>
      </c>
      <c r="M44" s="27">
        <f>I44/0.8</f>
        <v>262.52517187500001</v>
      </c>
      <c r="N44" s="30">
        <f>I44/0.75</f>
        <v>280.02685000000002</v>
      </c>
    </row>
    <row r="45" spans="1:14" x14ac:dyDescent="0.3">
      <c r="A45" s="2" t="s">
        <v>3</v>
      </c>
      <c r="B45" s="2" t="s">
        <v>25</v>
      </c>
      <c r="C45" s="3">
        <v>150.15</v>
      </c>
      <c r="D45" s="44">
        <v>0</v>
      </c>
      <c r="E45" s="45">
        <f>D45*1.08375</f>
        <v>0</v>
      </c>
      <c r="F45" s="33">
        <v>0</v>
      </c>
      <c r="G45" s="15">
        <v>1</v>
      </c>
      <c r="H45" s="33">
        <f t="shared" si="7"/>
        <v>3.75</v>
      </c>
      <c r="I45" s="32">
        <f t="shared" si="1"/>
        <v>3.75</v>
      </c>
      <c r="J45" s="18">
        <f>(C45-I45)/C45</f>
        <v>0.97502497502497498</v>
      </c>
      <c r="K45" s="21">
        <f>I45/0.9</f>
        <v>4.166666666666667</v>
      </c>
      <c r="L45" s="24">
        <f>I45/0.85</f>
        <v>4.4117647058823533</v>
      </c>
      <c r="M45" s="27">
        <f>I45/0.8</f>
        <v>4.6875</v>
      </c>
      <c r="N45" s="30">
        <f>I45/0.75</f>
        <v>5</v>
      </c>
    </row>
    <row r="46" spans="1:14" x14ac:dyDescent="0.3">
      <c r="A46" s="4" t="s">
        <v>154</v>
      </c>
      <c r="B46" s="4"/>
      <c r="C46" s="6"/>
      <c r="D46" s="35"/>
      <c r="E46" s="36"/>
      <c r="F46" s="34"/>
      <c r="G46" s="14"/>
      <c r="H46" s="33">
        <f t="shared" si="7"/>
        <v>0</v>
      </c>
      <c r="I46" s="32">
        <f t="shared" si="1"/>
        <v>0</v>
      </c>
      <c r="J46" s="37"/>
      <c r="K46" s="38"/>
      <c r="L46" s="39"/>
      <c r="M46" s="40"/>
      <c r="N46" s="41"/>
    </row>
    <row r="47" spans="1:14" x14ac:dyDescent="0.3">
      <c r="A47" s="2" t="s">
        <v>155</v>
      </c>
      <c r="B47" s="2" t="s">
        <v>156</v>
      </c>
      <c r="C47" s="3">
        <v>85</v>
      </c>
      <c r="D47" s="44">
        <v>0</v>
      </c>
      <c r="E47" s="45">
        <v>0</v>
      </c>
      <c r="F47" s="33">
        <v>0</v>
      </c>
      <c r="G47" s="15"/>
      <c r="H47" s="33">
        <f t="shared" si="7"/>
        <v>0</v>
      </c>
      <c r="I47" s="32">
        <f t="shared" si="1"/>
        <v>0</v>
      </c>
      <c r="J47" s="18"/>
      <c r="K47" s="21"/>
      <c r="L47" s="24"/>
      <c r="M47" s="27"/>
      <c r="N47" s="30"/>
    </row>
    <row r="48" spans="1:14" x14ac:dyDescent="0.3">
      <c r="A48" s="2" t="s">
        <v>158</v>
      </c>
      <c r="B48" s="2" t="s">
        <v>157</v>
      </c>
      <c r="C48" s="3">
        <v>227</v>
      </c>
      <c r="D48" s="44">
        <v>0</v>
      </c>
      <c r="E48" s="45">
        <v>0</v>
      </c>
      <c r="F48" s="33">
        <v>0</v>
      </c>
      <c r="G48" s="15"/>
      <c r="H48" s="33">
        <f t="shared" si="7"/>
        <v>0</v>
      </c>
      <c r="I48" s="32">
        <f t="shared" si="1"/>
        <v>0</v>
      </c>
      <c r="J48" s="18"/>
      <c r="K48" s="21"/>
      <c r="L48" s="24"/>
      <c r="M48" s="27"/>
      <c r="N48" s="30"/>
    </row>
    <row r="49" spans="1:14" x14ac:dyDescent="0.3">
      <c r="A49" s="2" t="s">
        <v>160</v>
      </c>
      <c r="B49" s="2" t="s">
        <v>159</v>
      </c>
      <c r="C49" s="3">
        <v>135</v>
      </c>
      <c r="D49" s="44">
        <v>0</v>
      </c>
      <c r="E49" s="45">
        <v>0</v>
      </c>
      <c r="F49" s="33">
        <v>0</v>
      </c>
      <c r="G49" s="15"/>
      <c r="H49" s="33">
        <f t="shared" si="7"/>
        <v>0</v>
      </c>
      <c r="I49" s="32">
        <f t="shared" si="1"/>
        <v>0</v>
      </c>
      <c r="J49" s="18"/>
      <c r="K49" s="21"/>
      <c r="L49" s="24"/>
      <c r="M49" s="27"/>
      <c r="N49" s="30"/>
    </row>
    <row r="50" spans="1:14" x14ac:dyDescent="0.3">
      <c r="A50" s="4" t="s">
        <v>23</v>
      </c>
      <c r="B50" s="2"/>
      <c r="C50" s="3"/>
      <c r="D50" s="10"/>
      <c r="E50" s="11"/>
      <c r="F50" s="33"/>
      <c r="G50" s="15"/>
      <c r="H50" s="33">
        <f t="shared" si="7"/>
        <v>0</v>
      </c>
      <c r="I50" s="32">
        <f t="shared" si="1"/>
        <v>0</v>
      </c>
      <c r="J50" s="18"/>
      <c r="K50" s="21"/>
      <c r="L50" s="24"/>
      <c r="M50" s="27"/>
      <c r="N50" s="30"/>
    </row>
    <row r="51" spans="1:14" x14ac:dyDescent="0.3">
      <c r="A51" s="2" t="s">
        <v>23</v>
      </c>
      <c r="B51" s="2" t="s">
        <v>24</v>
      </c>
      <c r="C51" s="3">
        <v>243.6</v>
      </c>
      <c r="D51" s="10">
        <v>46.99</v>
      </c>
      <c r="E51" s="11">
        <f t="shared" ref="E51:E63" si="14">D51*1.08375</f>
        <v>50.9254125</v>
      </c>
      <c r="F51" s="33">
        <v>0</v>
      </c>
      <c r="G51" s="15">
        <v>1</v>
      </c>
      <c r="H51" s="33">
        <f t="shared" si="7"/>
        <v>3.75</v>
      </c>
      <c r="I51" s="32">
        <f t="shared" si="1"/>
        <v>54.6754125</v>
      </c>
      <c r="J51" s="18">
        <f t="shared" ref="J51:J63" si="15">(C51-I51)/C51</f>
        <v>0.77555249384236458</v>
      </c>
      <c r="K51" s="21">
        <f t="shared" ref="K51:K63" si="16">I51/0.9</f>
        <v>60.750458333333334</v>
      </c>
      <c r="L51" s="24">
        <f t="shared" ref="L51:L63" si="17">I51/0.85</f>
        <v>64.324014705882348</v>
      </c>
      <c r="M51" s="27">
        <f t="shared" ref="M51:M63" si="18">I51/0.8</f>
        <v>68.344265624999991</v>
      </c>
      <c r="N51" s="30">
        <f t="shared" ref="N51:N63" si="19">I51/0.75</f>
        <v>72.900549999999996</v>
      </c>
    </row>
    <row r="52" spans="1:14" x14ac:dyDescent="0.3">
      <c r="A52" s="2" t="s">
        <v>23</v>
      </c>
      <c r="B52" s="2" t="s">
        <v>38</v>
      </c>
      <c r="C52" s="3">
        <v>179.55</v>
      </c>
      <c r="D52" s="44">
        <v>0</v>
      </c>
      <c r="E52" s="45">
        <f t="shared" si="14"/>
        <v>0</v>
      </c>
      <c r="F52" s="33">
        <v>0</v>
      </c>
      <c r="G52" s="15">
        <v>1</v>
      </c>
      <c r="H52" s="33">
        <f t="shared" si="7"/>
        <v>3.75</v>
      </c>
      <c r="I52" s="32">
        <f t="shared" si="1"/>
        <v>3.75</v>
      </c>
      <c r="J52" s="18">
        <f t="shared" si="15"/>
        <v>0.97911445279866338</v>
      </c>
      <c r="K52" s="21">
        <f t="shared" si="16"/>
        <v>4.166666666666667</v>
      </c>
      <c r="L52" s="24">
        <f t="shared" si="17"/>
        <v>4.4117647058823533</v>
      </c>
      <c r="M52" s="27">
        <f t="shared" si="18"/>
        <v>4.6875</v>
      </c>
      <c r="N52" s="30">
        <f t="shared" si="19"/>
        <v>5</v>
      </c>
    </row>
    <row r="53" spans="1:14" x14ac:dyDescent="0.3">
      <c r="A53" s="2" t="s">
        <v>23</v>
      </c>
      <c r="B53" s="2" t="s">
        <v>103</v>
      </c>
      <c r="C53" s="3">
        <v>207.9</v>
      </c>
      <c r="D53" s="43">
        <v>0</v>
      </c>
      <c r="E53" s="11">
        <f t="shared" si="14"/>
        <v>0</v>
      </c>
      <c r="F53" s="33">
        <v>0</v>
      </c>
      <c r="G53" s="15">
        <v>1</v>
      </c>
      <c r="H53" s="33">
        <f t="shared" si="7"/>
        <v>3.75</v>
      </c>
      <c r="I53" s="32">
        <f t="shared" si="1"/>
        <v>3.75</v>
      </c>
      <c r="J53" s="18">
        <f t="shared" si="15"/>
        <v>0.98196248196248193</v>
      </c>
      <c r="K53" s="21">
        <f t="shared" si="16"/>
        <v>4.166666666666667</v>
      </c>
      <c r="L53" s="24">
        <f t="shared" si="17"/>
        <v>4.4117647058823533</v>
      </c>
      <c r="M53" s="27">
        <f t="shared" si="18"/>
        <v>4.6875</v>
      </c>
      <c r="N53" s="30">
        <f t="shared" si="19"/>
        <v>5</v>
      </c>
    </row>
    <row r="54" spans="1:14" x14ac:dyDescent="0.3">
      <c r="A54" s="2" t="s">
        <v>23</v>
      </c>
      <c r="B54" s="2" t="s">
        <v>152</v>
      </c>
      <c r="C54" s="3">
        <v>348.6</v>
      </c>
      <c r="D54" s="10">
        <v>49.99</v>
      </c>
      <c r="E54" s="11">
        <f t="shared" si="14"/>
        <v>54.176662499999999</v>
      </c>
      <c r="F54" s="33">
        <v>0</v>
      </c>
      <c r="G54" s="15">
        <v>1</v>
      </c>
      <c r="H54" s="33">
        <f t="shared" si="7"/>
        <v>3.75</v>
      </c>
      <c r="I54" s="32">
        <f t="shared" si="1"/>
        <v>57.926662499999999</v>
      </c>
      <c r="J54" s="18">
        <f t="shared" si="15"/>
        <v>0.83383057228915658</v>
      </c>
      <c r="K54" s="21">
        <f t="shared" si="16"/>
        <v>64.362958333333324</v>
      </c>
      <c r="L54" s="24">
        <f t="shared" si="17"/>
        <v>68.149014705882351</v>
      </c>
      <c r="M54" s="27">
        <f t="shared" si="18"/>
        <v>72.408328124999997</v>
      </c>
      <c r="N54" s="30">
        <f t="shared" si="19"/>
        <v>77.235550000000003</v>
      </c>
    </row>
    <row r="55" spans="1:14" x14ac:dyDescent="0.3">
      <c r="A55" s="2" t="s">
        <v>23</v>
      </c>
      <c r="B55" s="2" t="s">
        <v>104</v>
      </c>
      <c r="C55" s="3">
        <v>495.6</v>
      </c>
      <c r="D55" s="10">
        <v>49.99</v>
      </c>
      <c r="E55" s="11">
        <f t="shared" si="14"/>
        <v>54.176662499999999</v>
      </c>
      <c r="F55" s="33">
        <v>0</v>
      </c>
      <c r="G55" s="15">
        <v>1</v>
      </c>
      <c r="H55" s="33">
        <f t="shared" si="7"/>
        <v>3.75</v>
      </c>
      <c r="I55" s="32">
        <f t="shared" si="1"/>
        <v>57.926662499999999</v>
      </c>
      <c r="J55" s="18">
        <f t="shared" si="15"/>
        <v>0.88311811440677968</v>
      </c>
      <c r="K55" s="21">
        <f t="shared" si="16"/>
        <v>64.362958333333324</v>
      </c>
      <c r="L55" s="24">
        <f t="shared" si="17"/>
        <v>68.149014705882351</v>
      </c>
      <c r="M55" s="27">
        <f t="shared" si="18"/>
        <v>72.408328124999997</v>
      </c>
      <c r="N55" s="30">
        <f t="shared" si="19"/>
        <v>77.235550000000003</v>
      </c>
    </row>
    <row r="56" spans="1:14" x14ac:dyDescent="0.3">
      <c r="A56" s="2" t="s">
        <v>23</v>
      </c>
      <c r="B56" s="2" t="s">
        <v>153</v>
      </c>
      <c r="C56" s="3">
        <v>629.23</v>
      </c>
      <c r="D56" s="10">
        <v>335</v>
      </c>
      <c r="E56" s="11">
        <f t="shared" si="14"/>
        <v>363.05624999999998</v>
      </c>
      <c r="F56" s="33">
        <v>0</v>
      </c>
      <c r="G56" s="15">
        <v>1</v>
      </c>
      <c r="H56" s="33">
        <f t="shared" si="7"/>
        <v>3.75</v>
      </c>
      <c r="I56" s="32">
        <f t="shared" si="1"/>
        <v>366.80624999999998</v>
      </c>
      <c r="J56" s="18">
        <f t="shared" si="15"/>
        <v>0.41705536926084269</v>
      </c>
      <c r="K56" s="21">
        <f t="shared" si="16"/>
        <v>407.56249999999994</v>
      </c>
      <c r="L56" s="24">
        <f t="shared" si="17"/>
        <v>431.53676470588232</v>
      </c>
      <c r="M56" s="27">
        <f t="shared" si="18"/>
        <v>458.50781249999994</v>
      </c>
      <c r="N56" s="30">
        <f t="shared" si="19"/>
        <v>489.07499999999999</v>
      </c>
    </row>
    <row r="57" spans="1:14" x14ac:dyDescent="0.3">
      <c r="A57" s="2" t="s">
        <v>23</v>
      </c>
      <c r="B57" s="2" t="s">
        <v>105</v>
      </c>
      <c r="C57" s="3">
        <v>221.55</v>
      </c>
      <c r="D57" s="43">
        <v>0</v>
      </c>
      <c r="E57" s="11">
        <f t="shared" si="14"/>
        <v>0</v>
      </c>
      <c r="F57" s="33">
        <v>0</v>
      </c>
      <c r="G57" s="15">
        <v>1</v>
      </c>
      <c r="H57" s="33">
        <f t="shared" si="7"/>
        <v>3.75</v>
      </c>
      <c r="I57" s="32">
        <f t="shared" si="1"/>
        <v>3.75</v>
      </c>
      <c r="J57" s="18">
        <f t="shared" si="15"/>
        <v>0.983073798239675</v>
      </c>
      <c r="K57" s="21">
        <f t="shared" si="16"/>
        <v>4.166666666666667</v>
      </c>
      <c r="L57" s="24">
        <f t="shared" si="17"/>
        <v>4.4117647058823533</v>
      </c>
      <c r="M57" s="27">
        <f t="shared" si="18"/>
        <v>4.6875</v>
      </c>
      <c r="N57" s="30">
        <f t="shared" si="19"/>
        <v>5</v>
      </c>
    </row>
    <row r="58" spans="1:14" x14ac:dyDescent="0.3">
      <c r="A58" s="2" t="s">
        <v>23</v>
      </c>
      <c r="B58" s="2" t="s">
        <v>106</v>
      </c>
      <c r="C58" s="3">
        <v>353.85</v>
      </c>
      <c r="D58" s="43">
        <v>0</v>
      </c>
      <c r="E58" s="11">
        <f t="shared" si="14"/>
        <v>0</v>
      </c>
      <c r="F58" s="33">
        <v>0</v>
      </c>
      <c r="G58" s="15">
        <v>1.5</v>
      </c>
      <c r="H58" s="33">
        <f t="shared" si="7"/>
        <v>5.625</v>
      </c>
      <c r="I58" s="32">
        <f t="shared" si="1"/>
        <v>5.625</v>
      </c>
      <c r="J58" s="18">
        <f t="shared" si="15"/>
        <v>0.98410343365832975</v>
      </c>
      <c r="K58" s="21">
        <f t="shared" si="16"/>
        <v>6.25</v>
      </c>
      <c r="L58" s="24">
        <f t="shared" si="17"/>
        <v>6.6176470588235299</v>
      </c>
      <c r="M58" s="27">
        <f t="shared" si="18"/>
        <v>7.03125</v>
      </c>
      <c r="N58" s="30">
        <f t="shared" si="19"/>
        <v>7.5</v>
      </c>
    </row>
    <row r="59" spans="1:14" x14ac:dyDescent="0.3">
      <c r="A59" s="2" t="s">
        <v>23</v>
      </c>
      <c r="B59" s="2" t="s">
        <v>107</v>
      </c>
      <c r="C59" s="3">
        <v>160.65</v>
      </c>
      <c r="D59" s="43">
        <v>0</v>
      </c>
      <c r="E59" s="11">
        <f t="shared" si="14"/>
        <v>0</v>
      </c>
      <c r="F59" s="33">
        <v>0</v>
      </c>
      <c r="G59" s="15">
        <v>1</v>
      </c>
      <c r="H59" s="33">
        <f t="shared" si="7"/>
        <v>3.75</v>
      </c>
      <c r="I59" s="32">
        <f t="shared" si="1"/>
        <v>3.75</v>
      </c>
      <c r="J59" s="18">
        <f t="shared" si="15"/>
        <v>0.97665732959850604</v>
      </c>
      <c r="K59" s="21">
        <f t="shared" si="16"/>
        <v>4.166666666666667</v>
      </c>
      <c r="L59" s="24">
        <f t="shared" si="17"/>
        <v>4.4117647058823533</v>
      </c>
      <c r="M59" s="27">
        <f t="shared" si="18"/>
        <v>4.6875</v>
      </c>
      <c r="N59" s="30">
        <f t="shared" si="19"/>
        <v>5</v>
      </c>
    </row>
    <row r="60" spans="1:14" x14ac:dyDescent="0.3">
      <c r="A60" s="2" t="s">
        <v>23</v>
      </c>
      <c r="B60" s="2" t="s">
        <v>108</v>
      </c>
      <c r="C60" s="3">
        <v>283.5</v>
      </c>
      <c r="D60" s="43">
        <v>0</v>
      </c>
      <c r="E60" s="11">
        <f t="shared" si="14"/>
        <v>0</v>
      </c>
      <c r="F60" s="33">
        <v>0</v>
      </c>
      <c r="G60" s="15">
        <v>1.5</v>
      </c>
      <c r="H60" s="33">
        <f t="shared" si="7"/>
        <v>5.625</v>
      </c>
      <c r="I60" s="32">
        <f t="shared" si="1"/>
        <v>5.625</v>
      </c>
      <c r="J60" s="18">
        <f t="shared" si="15"/>
        <v>0.98015873015873012</v>
      </c>
      <c r="K60" s="21">
        <f t="shared" si="16"/>
        <v>6.25</v>
      </c>
      <c r="L60" s="24">
        <f t="shared" si="17"/>
        <v>6.6176470588235299</v>
      </c>
      <c r="M60" s="27">
        <f t="shared" si="18"/>
        <v>7.03125</v>
      </c>
      <c r="N60" s="30">
        <f t="shared" si="19"/>
        <v>7.5</v>
      </c>
    </row>
    <row r="61" spans="1:14" x14ac:dyDescent="0.3">
      <c r="A61" s="2" t="s">
        <v>23</v>
      </c>
      <c r="B61" s="2" t="s">
        <v>109</v>
      </c>
      <c r="C61" s="3">
        <v>490.35</v>
      </c>
      <c r="D61" s="43">
        <v>0</v>
      </c>
      <c r="E61" s="11">
        <f t="shared" si="14"/>
        <v>0</v>
      </c>
      <c r="F61" s="33">
        <v>0</v>
      </c>
      <c r="G61" s="15">
        <v>2</v>
      </c>
      <c r="H61" s="33">
        <f t="shared" si="7"/>
        <v>7.5</v>
      </c>
      <c r="I61" s="32">
        <f t="shared" si="1"/>
        <v>7.5</v>
      </c>
      <c r="J61" s="18">
        <f t="shared" si="15"/>
        <v>0.98470480269195471</v>
      </c>
      <c r="K61" s="21">
        <f t="shared" si="16"/>
        <v>8.3333333333333339</v>
      </c>
      <c r="L61" s="24">
        <f t="shared" si="17"/>
        <v>8.8235294117647065</v>
      </c>
      <c r="M61" s="27">
        <f t="shared" si="18"/>
        <v>9.375</v>
      </c>
      <c r="N61" s="30">
        <f t="shared" si="19"/>
        <v>10</v>
      </c>
    </row>
    <row r="62" spans="1:14" x14ac:dyDescent="0.3">
      <c r="A62" s="2" t="s">
        <v>23</v>
      </c>
      <c r="B62" s="2" t="s">
        <v>110</v>
      </c>
      <c r="C62" s="3">
        <v>269.85000000000002</v>
      </c>
      <c r="D62" s="43">
        <v>0</v>
      </c>
      <c r="E62" s="11">
        <f t="shared" si="14"/>
        <v>0</v>
      </c>
      <c r="F62" s="33">
        <v>0</v>
      </c>
      <c r="G62" s="15">
        <v>1</v>
      </c>
      <c r="H62" s="33">
        <f t="shared" si="7"/>
        <v>3.75</v>
      </c>
      <c r="I62" s="32">
        <f t="shared" si="1"/>
        <v>3.75</v>
      </c>
      <c r="J62" s="18">
        <f t="shared" si="15"/>
        <v>0.98610339077265152</v>
      </c>
      <c r="K62" s="21">
        <f t="shared" si="16"/>
        <v>4.166666666666667</v>
      </c>
      <c r="L62" s="24">
        <f t="shared" si="17"/>
        <v>4.4117647058823533</v>
      </c>
      <c r="M62" s="27">
        <f t="shared" si="18"/>
        <v>4.6875</v>
      </c>
      <c r="N62" s="30">
        <f t="shared" si="19"/>
        <v>5</v>
      </c>
    </row>
    <row r="63" spans="1:14" x14ac:dyDescent="0.3">
      <c r="A63" s="2" t="s">
        <v>23</v>
      </c>
      <c r="B63" s="2" t="s">
        <v>111</v>
      </c>
      <c r="C63" s="3">
        <v>298.2</v>
      </c>
      <c r="D63" s="43">
        <v>0</v>
      </c>
      <c r="E63" s="11">
        <f t="shared" si="14"/>
        <v>0</v>
      </c>
      <c r="F63" s="33">
        <v>0</v>
      </c>
      <c r="G63" s="15">
        <v>1</v>
      </c>
      <c r="H63" s="33">
        <f t="shared" si="7"/>
        <v>3.75</v>
      </c>
      <c r="I63" s="32">
        <f t="shared" si="1"/>
        <v>3.75</v>
      </c>
      <c r="J63" s="18">
        <f t="shared" si="15"/>
        <v>0.98742454728370221</v>
      </c>
      <c r="K63" s="21">
        <f t="shared" si="16"/>
        <v>4.166666666666667</v>
      </c>
      <c r="L63" s="24">
        <f t="shared" si="17"/>
        <v>4.4117647058823533</v>
      </c>
      <c r="M63" s="27">
        <f t="shared" si="18"/>
        <v>4.6875</v>
      </c>
      <c r="N63" s="30">
        <f t="shared" si="19"/>
        <v>5</v>
      </c>
    </row>
    <row r="64" spans="1:14" x14ac:dyDescent="0.3">
      <c r="A64" s="4" t="s">
        <v>52</v>
      </c>
      <c r="B64" s="2"/>
      <c r="C64" s="3"/>
      <c r="D64" s="10"/>
      <c r="E64" s="11"/>
      <c r="F64" s="33"/>
      <c r="G64" s="15"/>
      <c r="H64" s="33">
        <f t="shared" si="7"/>
        <v>0</v>
      </c>
      <c r="I64" s="32">
        <f t="shared" si="1"/>
        <v>0</v>
      </c>
      <c r="J64" s="18"/>
      <c r="K64" s="21"/>
      <c r="L64" s="24"/>
      <c r="M64" s="27"/>
      <c r="N64" s="30"/>
    </row>
    <row r="65" spans="1:14" x14ac:dyDescent="0.3">
      <c r="A65" s="2" t="s">
        <v>52</v>
      </c>
      <c r="B65" s="2" t="s">
        <v>53</v>
      </c>
      <c r="C65" s="3">
        <v>521.85</v>
      </c>
      <c r="D65" s="43">
        <v>0</v>
      </c>
      <c r="E65" s="11">
        <f t="shared" ref="E65:E71" si="20">D65*1.08375</f>
        <v>0</v>
      </c>
      <c r="F65" s="33">
        <v>0</v>
      </c>
      <c r="G65" s="15">
        <v>2</v>
      </c>
      <c r="H65" s="33">
        <f t="shared" si="7"/>
        <v>7.5</v>
      </c>
      <c r="I65" s="32">
        <f t="shared" si="1"/>
        <v>7.5</v>
      </c>
      <c r="J65" s="18">
        <f t="shared" ref="J65:J71" si="21">(C65-I65)/C65</f>
        <v>0.98562805403851683</v>
      </c>
      <c r="K65" s="21">
        <f t="shared" ref="K65:K71" si="22">I65/0.9</f>
        <v>8.3333333333333339</v>
      </c>
      <c r="L65" s="24">
        <f t="shared" ref="L65:L71" si="23">I65/0.85</f>
        <v>8.8235294117647065</v>
      </c>
      <c r="M65" s="27">
        <f t="shared" ref="M65:M71" si="24">I65/0.8</f>
        <v>9.375</v>
      </c>
      <c r="N65" s="30">
        <f t="shared" ref="N65:N71" si="25">I65/0.75</f>
        <v>10</v>
      </c>
    </row>
    <row r="66" spans="1:14" x14ac:dyDescent="0.3">
      <c r="A66" s="2" t="s">
        <v>52</v>
      </c>
      <c r="B66" s="2" t="s">
        <v>54</v>
      </c>
      <c r="C66" s="3">
        <v>260.39999999999998</v>
      </c>
      <c r="D66" s="43">
        <v>0</v>
      </c>
      <c r="E66" s="11">
        <f t="shared" si="20"/>
        <v>0</v>
      </c>
      <c r="F66" s="33">
        <v>0</v>
      </c>
      <c r="G66" s="15">
        <v>1</v>
      </c>
      <c r="H66" s="33">
        <f t="shared" si="7"/>
        <v>3.75</v>
      </c>
      <c r="I66" s="32">
        <f t="shared" ref="I66:I129" si="26">E66+H66</f>
        <v>3.75</v>
      </c>
      <c r="J66" s="18">
        <f t="shared" si="21"/>
        <v>0.98559907834101379</v>
      </c>
      <c r="K66" s="21">
        <f t="shared" si="22"/>
        <v>4.166666666666667</v>
      </c>
      <c r="L66" s="24">
        <f t="shared" si="23"/>
        <v>4.4117647058823533</v>
      </c>
      <c r="M66" s="27">
        <f t="shared" si="24"/>
        <v>4.6875</v>
      </c>
      <c r="N66" s="30">
        <f t="shared" si="25"/>
        <v>5</v>
      </c>
    </row>
    <row r="67" spans="1:14" x14ac:dyDescent="0.3">
      <c r="A67" s="2" t="s">
        <v>52</v>
      </c>
      <c r="B67" s="2" t="s">
        <v>123</v>
      </c>
      <c r="C67" s="3">
        <v>364.35</v>
      </c>
      <c r="D67" s="43">
        <v>0</v>
      </c>
      <c r="E67" s="11">
        <f t="shared" si="20"/>
        <v>0</v>
      </c>
      <c r="F67" s="33">
        <v>0</v>
      </c>
      <c r="G67" s="15">
        <v>1.5</v>
      </c>
      <c r="H67" s="33">
        <f t="shared" ref="H67:H130" si="27">G67*3.75</f>
        <v>5.625</v>
      </c>
      <c r="I67" s="32">
        <f t="shared" si="26"/>
        <v>5.625</v>
      </c>
      <c r="J67" s="18">
        <f t="shared" si="21"/>
        <v>0.98456154796212436</v>
      </c>
      <c r="K67" s="21">
        <f t="shared" si="22"/>
        <v>6.25</v>
      </c>
      <c r="L67" s="24">
        <f t="shared" si="23"/>
        <v>6.6176470588235299</v>
      </c>
      <c r="M67" s="27">
        <f t="shared" si="24"/>
        <v>7.03125</v>
      </c>
      <c r="N67" s="30">
        <f t="shared" si="25"/>
        <v>7.5</v>
      </c>
    </row>
    <row r="68" spans="1:14" x14ac:dyDescent="0.3">
      <c r="A68" s="2" t="s">
        <v>52</v>
      </c>
      <c r="B68" s="2" t="s">
        <v>276</v>
      </c>
      <c r="C68" s="3">
        <v>281.39999999999998</v>
      </c>
      <c r="D68" s="10">
        <v>4.87</v>
      </c>
      <c r="E68" s="11">
        <f t="shared" si="20"/>
        <v>5.2778625000000003</v>
      </c>
      <c r="F68" s="33">
        <v>0</v>
      </c>
      <c r="G68" s="15">
        <v>1</v>
      </c>
      <c r="H68" s="33">
        <f t="shared" si="27"/>
        <v>3.75</v>
      </c>
      <c r="I68" s="32">
        <f t="shared" si="26"/>
        <v>9.0278625000000012</v>
      </c>
      <c r="J68" s="18">
        <f t="shared" si="21"/>
        <v>0.96791804371002121</v>
      </c>
      <c r="K68" s="21">
        <f t="shared" si="22"/>
        <v>10.030958333333334</v>
      </c>
      <c r="L68" s="24">
        <f t="shared" si="23"/>
        <v>10.621014705882354</v>
      </c>
      <c r="M68" s="27">
        <f t="shared" si="24"/>
        <v>11.284828125000001</v>
      </c>
      <c r="N68" s="30">
        <f t="shared" si="25"/>
        <v>12.037150000000002</v>
      </c>
    </row>
    <row r="69" spans="1:14" x14ac:dyDescent="0.3">
      <c r="A69" s="2" t="s">
        <v>52</v>
      </c>
      <c r="B69" s="2" t="s">
        <v>132</v>
      </c>
      <c r="C69" s="3">
        <v>342.3</v>
      </c>
      <c r="D69" s="10">
        <v>8.49</v>
      </c>
      <c r="E69" s="11">
        <f t="shared" si="20"/>
        <v>9.2010375</v>
      </c>
      <c r="F69" s="33">
        <v>0</v>
      </c>
      <c r="G69" s="15">
        <v>1</v>
      </c>
      <c r="H69" s="33">
        <f t="shared" si="27"/>
        <v>3.75</v>
      </c>
      <c r="I69" s="32">
        <f t="shared" si="26"/>
        <v>12.9510375</v>
      </c>
      <c r="J69" s="18">
        <f t="shared" si="21"/>
        <v>0.9621646581945662</v>
      </c>
      <c r="K69" s="21">
        <f t="shared" si="22"/>
        <v>14.390041666666667</v>
      </c>
      <c r="L69" s="24">
        <f t="shared" si="23"/>
        <v>15.236514705882353</v>
      </c>
      <c r="M69" s="27">
        <f t="shared" si="24"/>
        <v>16.188796874999998</v>
      </c>
      <c r="N69" s="30">
        <f t="shared" si="25"/>
        <v>17.268049999999999</v>
      </c>
    </row>
    <row r="70" spans="1:14" x14ac:dyDescent="0.3">
      <c r="A70" s="2" t="s">
        <v>52</v>
      </c>
      <c r="B70" s="2" t="s">
        <v>133</v>
      </c>
      <c r="C70" s="3">
        <v>316.05</v>
      </c>
      <c r="D70" s="10">
        <v>14.12</v>
      </c>
      <c r="E70" s="11">
        <f t="shared" si="20"/>
        <v>15.302549999999998</v>
      </c>
      <c r="F70" s="33">
        <v>0</v>
      </c>
      <c r="G70" s="15">
        <v>1</v>
      </c>
      <c r="H70" s="33">
        <f t="shared" si="27"/>
        <v>3.75</v>
      </c>
      <c r="I70" s="32">
        <f t="shared" si="26"/>
        <v>19.052549999999997</v>
      </c>
      <c r="J70" s="18">
        <f t="shared" si="21"/>
        <v>0.93971665875652588</v>
      </c>
      <c r="K70" s="21">
        <f t="shared" si="22"/>
        <v>21.169499999999996</v>
      </c>
      <c r="L70" s="24">
        <f t="shared" si="23"/>
        <v>22.414764705882348</v>
      </c>
      <c r="M70" s="27">
        <f t="shared" si="24"/>
        <v>23.815687499999996</v>
      </c>
      <c r="N70" s="30">
        <f t="shared" si="25"/>
        <v>25.403399999999994</v>
      </c>
    </row>
    <row r="71" spans="1:14" x14ac:dyDescent="0.3">
      <c r="A71" s="2" t="s">
        <v>52</v>
      </c>
      <c r="B71" s="2" t="s">
        <v>134</v>
      </c>
      <c r="C71" s="3">
        <v>368.55</v>
      </c>
      <c r="D71" s="43">
        <v>0</v>
      </c>
      <c r="E71" s="11">
        <f t="shared" si="20"/>
        <v>0</v>
      </c>
      <c r="F71" s="33">
        <v>0</v>
      </c>
      <c r="G71" s="15">
        <v>1</v>
      </c>
      <c r="H71" s="33">
        <f t="shared" si="27"/>
        <v>3.75</v>
      </c>
      <c r="I71" s="32">
        <f t="shared" si="26"/>
        <v>3.75</v>
      </c>
      <c r="J71" s="18">
        <f t="shared" si="21"/>
        <v>0.98982498982498979</v>
      </c>
      <c r="K71" s="21">
        <f t="shared" si="22"/>
        <v>4.166666666666667</v>
      </c>
      <c r="L71" s="24">
        <f t="shared" si="23"/>
        <v>4.4117647058823533</v>
      </c>
      <c r="M71" s="27">
        <f t="shared" si="24"/>
        <v>4.6875</v>
      </c>
      <c r="N71" s="30">
        <f t="shared" si="25"/>
        <v>5</v>
      </c>
    </row>
    <row r="72" spans="1:14" x14ac:dyDescent="0.3">
      <c r="A72" s="4" t="s">
        <v>39</v>
      </c>
      <c r="B72" s="2"/>
      <c r="C72" s="3"/>
      <c r="D72" s="10"/>
      <c r="E72" s="11"/>
      <c r="F72" s="33"/>
      <c r="G72" s="15"/>
      <c r="H72" s="33">
        <f t="shared" si="27"/>
        <v>0</v>
      </c>
      <c r="I72" s="32">
        <f t="shared" si="26"/>
        <v>0</v>
      </c>
      <c r="J72" s="18"/>
      <c r="K72" s="21"/>
      <c r="L72" s="24"/>
      <c r="M72" s="27"/>
      <c r="N72" s="30"/>
    </row>
    <row r="73" spans="1:14" x14ac:dyDescent="0.3">
      <c r="A73" s="2" t="s">
        <v>39</v>
      </c>
      <c r="B73" s="2" t="s">
        <v>40</v>
      </c>
      <c r="C73" s="3">
        <v>168</v>
      </c>
      <c r="D73" s="44">
        <v>0</v>
      </c>
      <c r="E73" s="45">
        <f>D73*1.08375</f>
        <v>0</v>
      </c>
      <c r="F73" s="33">
        <v>0</v>
      </c>
      <c r="G73" s="15">
        <v>1</v>
      </c>
      <c r="H73" s="33">
        <f t="shared" si="27"/>
        <v>3.75</v>
      </c>
      <c r="I73" s="32">
        <f t="shared" si="26"/>
        <v>3.75</v>
      </c>
      <c r="J73" s="18">
        <f>(C73-I73)/C73</f>
        <v>0.9776785714285714</v>
      </c>
      <c r="K73" s="21">
        <f>I73/0.9</f>
        <v>4.166666666666667</v>
      </c>
      <c r="L73" s="24">
        <f>I73/0.85</f>
        <v>4.4117647058823533</v>
      </c>
      <c r="M73" s="27">
        <f>I73/0.8</f>
        <v>4.6875</v>
      </c>
      <c r="N73" s="30">
        <f>I73/0.75</f>
        <v>5</v>
      </c>
    </row>
    <row r="74" spans="1:14" x14ac:dyDescent="0.3">
      <c r="A74" s="2" t="s">
        <v>39</v>
      </c>
      <c r="B74" s="2" t="s">
        <v>41</v>
      </c>
      <c r="C74" s="3">
        <v>259.35000000000002</v>
      </c>
      <c r="D74" s="44">
        <v>0</v>
      </c>
      <c r="E74" s="45">
        <f>D74*1.08375</f>
        <v>0</v>
      </c>
      <c r="F74" s="33">
        <v>0</v>
      </c>
      <c r="G74" s="15">
        <v>1</v>
      </c>
      <c r="H74" s="33">
        <f t="shared" si="27"/>
        <v>3.75</v>
      </c>
      <c r="I74" s="32">
        <f t="shared" si="26"/>
        <v>3.75</v>
      </c>
      <c r="J74" s="18">
        <f>(C74-I74)/C74</f>
        <v>0.98554077501445925</v>
      </c>
      <c r="K74" s="21">
        <f>I74/0.9</f>
        <v>4.166666666666667</v>
      </c>
      <c r="L74" s="24">
        <f>I74/0.85</f>
        <v>4.4117647058823533</v>
      </c>
      <c r="M74" s="27">
        <f>I74/0.8</f>
        <v>4.6875</v>
      </c>
      <c r="N74" s="30">
        <f>I74/0.75</f>
        <v>5</v>
      </c>
    </row>
    <row r="75" spans="1:14" x14ac:dyDescent="0.3">
      <c r="A75" s="2" t="s">
        <v>39</v>
      </c>
      <c r="B75" s="2" t="s">
        <v>42</v>
      </c>
      <c r="C75" s="3">
        <v>199.5</v>
      </c>
      <c r="D75" s="10">
        <v>10.4</v>
      </c>
      <c r="E75" s="11">
        <f>D75*1.08375</f>
        <v>11.271000000000001</v>
      </c>
      <c r="F75" s="33">
        <v>0</v>
      </c>
      <c r="G75" s="15">
        <v>1</v>
      </c>
      <c r="H75" s="33">
        <f t="shared" si="27"/>
        <v>3.75</v>
      </c>
      <c r="I75" s="32">
        <f t="shared" si="26"/>
        <v>15.021000000000001</v>
      </c>
      <c r="J75" s="18">
        <f>(C75-I75)/C75</f>
        <v>0.92470676691729314</v>
      </c>
      <c r="K75" s="21">
        <f>I75/0.9</f>
        <v>16.690000000000001</v>
      </c>
      <c r="L75" s="24">
        <f>I75/0.85</f>
        <v>17.671764705882353</v>
      </c>
      <c r="M75" s="27">
        <f>I75/0.8</f>
        <v>18.776250000000001</v>
      </c>
      <c r="N75" s="30">
        <f>I75/0.75</f>
        <v>20.028000000000002</v>
      </c>
    </row>
    <row r="76" spans="1:14" x14ac:dyDescent="0.3">
      <c r="A76" s="2" t="s">
        <v>39</v>
      </c>
      <c r="B76" s="2" t="s">
        <v>47</v>
      </c>
      <c r="C76" s="3">
        <v>551.25</v>
      </c>
      <c r="D76" s="43">
        <v>0</v>
      </c>
      <c r="E76" s="11">
        <f>D76*1.08375</f>
        <v>0</v>
      </c>
      <c r="F76" s="33">
        <v>0</v>
      </c>
      <c r="G76" s="15">
        <v>2</v>
      </c>
      <c r="H76" s="33">
        <f t="shared" si="27"/>
        <v>7.5</v>
      </c>
      <c r="I76" s="32">
        <f t="shared" si="26"/>
        <v>7.5</v>
      </c>
      <c r="J76" s="18">
        <f>(C76-I76)/C76</f>
        <v>0.98639455782312924</v>
      </c>
      <c r="K76" s="21">
        <f>I76/0.9</f>
        <v>8.3333333333333339</v>
      </c>
      <c r="L76" s="24">
        <f>I76/0.85</f>
        <v>8.8235294117647065</v>
      </c>
      <c r="M76" s="27">
        <f>I76/0.8</f>
        <v>9.375</v>
      </c>
      <c r="N76" s="30">
        <f>I76/0.75</f>
        <v>10</v>
      </c>
    </row>
    <row r="77" spans="1:14" x14ac:dyDescent="0.3">
      <c r="A77" s="2" t="s">
        <v>39</v>
      </c>
      <c r="B77" s="2" t="s">
        <v>50</v>
      </c>
      <c r="C77" s="3">
        <v>551.25</v>
      </c>
      <c r="D77" s="43">
        <v>0</v>
      </c>
      <c r="E77" s="11">
        <f>D77*1.08375</f>
        <v>0</v>
      </c>
      <c r="F77" s="33">
        <v>0</v>
      </c>
      <c r="G77" s="15">
        <v>2.5</v>
      </c>
      <c r="H77" s="33">
        <f t="shared" si="27"/>
        <v>9.375</v>
      </c>
      <c r="I77" s="32">
        <f t="shared" si="26"/>
        <v>9.375</v>
      </c>
      <c r="J77" s="18">
        <f>(C77-I77)/C77</f>
        <v>0.98299319727891155</v>
      </c>
      <c r="K77" s="21">
        <f>I77/0.9</f>
        <v>10.416666666666666</v>
      </c>
      <c r="L77" s="24">
        <f>I77/0.85</f>
        <v>11.029411764705882</v>
      </c>
      <c r="M77" s="27">
        <f>I77/0.8</f>
        <v>11.71875</v>
      </c>
      <c r="N77" s="30">
        <f>I77/0.75</f>
        <v>12.5</v>
      </c>
    </row>
    <row r="78" spans="1:14" x14ac:dyDescent="0.3">
      <c r="A78" s="4" t="s">
        <v>33</v>
      </c>
      <c r="B78" s="2"/>
      <c r="C78" s="3"/>
      <c r="D78" s="10"/>
      <c r="E78" s="11"/>
      <c r="F78" s="33"/>
      <c r="G78" s="15"/>
      <c r="H78" s="33">
        <f t="shared" si="27"/>
        <v>0</v>
      </c>
      <c r="I78" s="32">
        <f t="shared" si="26"/>
        <v>0</v>
      </c>
      <c r="J78" s="18"/>
      <c r="K78" s="21"/>
      <c r="L78" s="24"/>
      <c r="M78" s="27"/>
      <c r="N78" s="30"/>
    </row>
    <row r="79" spans="1:14" x14ac:dyDescent="0.3">
      <c r="A79" s="2" t="s">
        <v>33</v>
      </c>
      <c r="B79" s="2" t="s">
        <v>34</v>
      </c>
      <c r="C79" s="3">
        <v>3908.1</v>
      </c>
      <c r="D79" s="43">
        <v>0</v>
      </c>
      <c r="E79" s="11">
        <f>D79*1.08375</f>
        <v>0</v>
      </c>
      <c r="F79" s="33">
        <v>800</v>
      </c>
      <c r="G79" s="15">
        <v>6</v>
      </c>
      <c r="H79" s="33">
        <f t="shared" si="27"/>
        <v>22.5</v>
      </c>
      <c r="I79" s="32">
        <f t="shared" si="26"/>
        <v>22.5</v>
      </c>
      <c r="J79" s="18">
        <f>(C79-I79)/C79</f>
        <v>0.99424272664466107</v>
      </c>
      <c r="K79" s="21">
        <f>I79/0.9</f>
        <v>25</v>
      </c>
      <c r="L79" s="24">
        <f>I79/0.85</f>
        <v>26.47058823529412</v>
      </c>
      <c r="M79" s="27">
        <f>I79/0.8</f>
        <v>28.125</v>
      </c>
      <c r="N79" s="30">
        <f>I79/0.75</f>
        <v>30</v>
      </c>
    </row>
    <row r="80" spans="1:14" x14ac:dyDescent="0.3">
      <c r="A80" s="2" t="s">
        <v>33</v>
      </c>
      <c r="B80" s="2" t="s">
        <v>48</v>
      </c>
      <c r="C80" s="3">
        <v>1732.5</v>
      </c>
      <c r="D80" s="43">
        <v>0</v>
      </c>
      <c r="E80" s="11">
        <f>D80*1.08375</f>
        <v>0</v>
      </c>
      <c r="F80" s="33">
        <v>0</v>
      </c>
      <c r="G80" s="15">
        <v>8</v>
      </c>
      <c r="H80" s="33">
        <f t="shared" si="27"/>
        <v>30</v>
      </c>
      <c r="I80" s="32">
        <f t="shared" si="26"/>
        <v>30</v>
      </c>
      <c r="J80" s="18">
        <f>(C80-I80)/C80</f>
        <v>0.98268398268398272</v>
      </c>
      <c r="K80" s="21">
        <f>I80/0.9</f>
        <v>33.333333333333336</v>
      </c>
      <c r="L80" s="24">
        <f>I80/0.85</f>
        <v>35.294117647058826</v>
      </c>
      <c r="M80" s="27">
        <f>I80/0.8</f>
        <v>37.5</v>
      </c>
      <c r="N80" s="30">
        <f>I80/0.75</f>
        <v>40</v>
      </c>
    </row>
    <row r="81" spans="1:14" x14ac:dyDescent="0.3">
      <c r="A81" s="2" t="s">
        <v>33</v>
      </c>
      <c r="B81" s="2" t="s">
        <v>49</v>
      </c>
      <c r="C81" s="3">
        <v>5182.8</v>
      </c>
      <c r="D81" s="43">
        <v>0</v>
      </c>
      <c r="E81" s="11">
        <f>D81*1.08375</f>
        <v>0</v>
      </c>
      <c r="F81" s="33">
        <v>2000</v>
      </c>
      <c r="G81" s="15">
        <v>8</v>
      </c>
      <c r="H81" s="33">
        <f t="shared" si="27"/>
        <v>30</v>
      </c>
      <c r="I81" s="32">
        <f t="shared" si="26"/>
        <v>30</v>
      </c>
      <c r="J81" s="18">
        <f>(C81-I81)/C81</f>
        <v>0.99421162306089372</v>
      </c>
      <c r="K81" s="21">
        <f>I81/0.9</f>
        <v>33.333333333333336</v>
      </c>
      <c r="L81" s="24">
        <f>I81/0.85</f>
        <v>35.294117647058826</v>
      </c>
      <c r="M81" s="27">
        <f>I81/0.8</f>
        <v>37.5</v>
      </c>
      <c r="N81" s="30">
        <f>I81/0.75</f>
        <v>40</v>
      </c>
    </row>
    <row r="82" spans="1:14" x14ac:dyDescent="0.3">
      <c r="A82" s="4" t="s">
        <v>149</v>
      </c>
      <c r="B82" s="4"/>
      <c r="C82" s="5"/>
      <c r="D82" s="9"/>
      <c r="E82" s="9"/>
      <c r="F82" s="34"/>
      <c r="G82" s="14"/>
      <c r="H82" s="33">
        <f t="shared" si="27"/>
        <v>0</v>
      </c>
      <c r="I82" s="32">
        <f t="shared" si="26"/>
        <v>0</v>
      </c>
      <c r="J82" s="17"/>
      <c r="K82" s="20"/>
      <c r="L82" s="23"/>
      <c r="M82" s="26"/>
      <c r="N82" s="29"/>
    </row>
    <row r="83" spans="1:14" x14ac:dyDescent="0.3">
      <c r="A83" s="2" t="s">
        <v>31</v>
      </c>
      <c r="B83" s="2" t="s">
        <v>59</v>
      </c>
      <c r="C83" s="3">
        <v>1128.75</v>
      </c>
      <c r="D83" s="10">
        <v>473.33</v>
      </c>
      <c r="E83" s="11">
        <f t="shared" ref="E83:E106" si="28">D83*1.08375</f>
        <v>512.97138749999999</v>
      </c>
      <c r="F83" s="33">
        <v>0</v>
      </c>
      <c r="G83" s="15">
        <v>2</v>
      </c>
      <c r="H83" s="33">
        <f t="shared" si="27"/>
        <v>7.5</v>
      </c>
      <c r="I83" s="32">
        <f t="shared" si="26"/>
        <v>520.47138749999999</v>
      </c>
      <c r="J83" s="18">
        <f t="shared" ref="J83:J106" si="29">(C83-I83)/C83</f>
        <v>0.53889578073089706</v>
      </c>
      <c r="K83" s="21">
        <f t="shared" ref="K83:K106" si="30">I83/0.9</f>
        <v>578.30154166666659</v>
      </c>
      <c r="L83" s="24">
        <f t="shared" ref="L83:L106" si="31">I83/0.85</f>
        <v>612.31927941176468</v>
      </c>
      <c r="M83" s="27">
        <f t="shared" ref="M83:M106" si="32">I83/0.8</f>
        <v>650.58923437499993</v>
      </c>
      <c r="N83" s="30">
        <f t="shared" ref="N83:N106" si="33">I83/0.75</f>
        <v>693.96185000000003</v>
      </c>
    </row>
    <row r="84" spans="1:14" x14ac:dyDescent="0.3">
      <c r="A84" s="2" t="s">
        <v>31</v>
      </c>
      <c r="B84" s="2" t="s">
        <v>60</v>
      </c>
      <c r="C84" s="3">
        <v>1237.95</v>
      </c>
      <c r="D84" s="10">
        <v>511.62</v>
      </c>
      <c r="E84" s="11">
        <f t="shared" si="28"/>
        <v>554.46817499999997</v>
      </c>
      <c r="F84" s="33">
        <v>0</v>
      </c>
      <c r="G84" s="15">
        <v>2.5</v>
      </c>
      <c r="H84" s="33">
        <f t="shared" si="27"/>
        <v>9.375</v>
      </c>
      <c r="I84" s="32">
        <f t="shared" si="26"/>
        <v>563.84317499999997</v>
      </c>
      <c r="J84" s="18">
        <f t="shared" si="29"/>
        <v>0.54453477523324856</v>
      </c>
      <c r="K84" s="21">
        <f t="shared" si="30"/>
        <v>626.4924166666666</v>
      </c>
      <c r="L84" s="24">
        <f t="shared" si="31"/>
        <v>663.3449117647059</v>
      </c>
      <c r="M84" s="27">
        <f t="shared" si="32"/>
        <v>704.80396874999997</v>
      </c>
      <c r="N84" s="30">
        <f t="shared" si="33"/>
        <v>751.79089999999997</v>
      </c>
    </row>
    <row r="85" spans="1:14" x14ac:dyDescent="0.3">
      <c r="A85" s="2" t="s">
        <v>31</v>
      </c>
      <c r="B85" s="2" t="s">
        <v>61</v>
      </c>
      <c r="C85" s="3">
        <v>1342.95</v>
      </c>
      <c r="D85" s="10">
        <v>547.85</v>
      </c>
      <c r="E85" s="11">
        <f t="shared" si="28"/>
        <v>593.73243750000006</v>
      </c>
      <c r="F85" s="33">
        <v>0</v>
      </c>
      <c r="G85" s="15">
        <v>3</v>
      </c>
      <c r="H85" s="33">
        <f t="shared" si="27"/>
        <v>11.25</v>
      </c>
      <c r="I85" s="32">
        <f t="shared" si="26"/>
        <v>604.98243750000006</v>
      </c>
      <c r="J85" s="18">
        <f t="shared" si="29"/>
        <v>0.54951231430805314</v>
      </c>
      <c r="K85" s="21">
        <f t="shared" si="30"/>
        <v>672.20270833333336</v>
      </c>
      <c r="L85" s="24">
        <f t="shared" si="31"/>
        <v>711.74404411764715</v>
      </c>
      <c r="M85" s="27">
        <f t="shared" si="32"/>
        <v>756.22804687500002</v>
      </c>
      <c r="N85" s="30">
        <f t="shared" si="33"/>
        <v>806.64325000000008</v>
      </c>
    </row>
    <row r="86" spans="1:14" x14ac:dyDescent="0.3">
      <c r="A86" s="2" t="s">
        <v>31</v>
      </c>
      <c r="B86" s="2" t="s">
        <v>62</v>
      </c>
      <c r="C86" s="3">
        <v>1903.65</v>
      </c>
      <c r="D86" s="10">
        <v>0</v>
      </c>
      <c r="E86" s="11">
        <f t="shared" si="28"/>
        <v>0</v>
      </c>
      <c r="F86" s="33">
        <v>0</v>
      </c>
      <c r="G86" s="15">
        <v>3</v>
      </c>
      <c r="H86" s="33">
        <f t="shared" si="27"/>
        <v>11.25</v>
      </c>
      <c r="I86" s="32">
        <f t="shared" si="26"/>
        <v>11.25</v>
      </c>
      <c r="J86" s="18">
        <f t="shared" si="29"/>
        <v>0.99409030021274924</v>
      </c>
      <c r="K86" s="21">
        <f t="shared" si="30"/>
        <v>12.5</v>
      </c>
      <c r="L86" s="24">
        <f t="shared" si="31"/>
        <v>13.23529411764706</v>
      </c>
      <c r="M86" s="27">
        <f t="shared" si="32"/>
        <v>14.0625</v>
      </c>
      <c r="N86" s="30">
        <f t="shared" si="33"/>
        <v>15</v>
      </c>
    </row>
    <row r="87" spans="1:14" x14ac:dyDescent="0.3">
      <c r="A87" s="2" t="s">
        <v>31</v>
      </c>
      <c r="B87" s="2" t="s">
        <v>72</v>
      </c>
      <c r="C87" s="3">
        <v>554.4</v>
      </c>
      <c r="D87" s="46">
        <v>100</v>
      </c>
      <c r="E87" s="47">
        <f t="shared" si="28"/>
        <v>108.375</v>
      </c>
      <c r="F87" s="33">
        <v>0</v>
      </c>
      <c r="G87" s="15">
        <v>2</v>
      </c>
      <c r="H87" s="33">
        <f t="shared" si="27"/>
        <v>7.5</v>
      </c>
      <c r="I87" s="32">
        <f t="shared" si="26"/>
        <v>115.875</v>
      </c>
      <c r="J87" s="18">
        <f t="shared" si="29"/>
        <v>0.79099025974025972</v>
      </c>
      <c r="K87" s="21">
        <f t="shared" si="30"/>
        <v>128.75</v>
      </c>
      <c r="L87" s="24">
        <f t="shared" si="31"/>
        <v>136.3235294117647</v>
      </c>
      <c r="M87" s="27">
        <f t="shared" si="32"/>
        <v>144.84375</v>
      </c>
      <c r="N87" s="30">
        <f t="shared" si="33"/>
        <v>154.5</v>
      </c>
    </row>
    <row r="88" spans="1:14" x14ac:dyDescent="0.3">
      <c r="A88" s="2" t="s">
        <v>31</v>
      </c>
      <c r="B88" s="2" t="s">
        <v>75</v>
      </c>
      <c r="C88" s="3">
        <v>656.25</v>
      </c>
      <c r="D88" s="10">
        <v>274.52</v>
      </c>
      <c r="E88" s="11">
        <f t="shared" si="28"/>
        <v>297.51104999999995</v>
      </c>
      <c r="F88" s="33">
        <v>0</v>
      </c>
      <c r="G88" s="15">
        <v>2</v>
      </c>
      <c r="H88" s="33">
        <f t="shared" si="27"/>
        <v>7.5</v>
      </c>
      <c r="I88" s="32">
        <f t="shared" si="26"/>
        <v>305.01104999999995</v>
      </c>
      <c r="J88" s="18">
        <f t="shared" si="29"/>
        <v>0.53522125714285718</v>
      </c>
      <c r="K88" s="21">
        <f t="shared" si="30"/>
        <v>338.9011666666666</v>
      </c>
      <c r="L88" s="24">
        <f t="shared" si="31"/>
        <v>358.83652941176467</v>
      </c>
      <c r="M88" s="27">
        <f t="shared" si="32"/>
        <v>381.26381249999991</v>
      </c>
      <c r="N88" s="30">
        <f t="shared" si="33"/>
        <v>406.68139999999994</v>
      </c>
    </row>
    <row r="89" spans="1:14" x14ac:dyDescent="0.3">
      <c r="A89" s="2" t="s">
        <v>31</v>
      </c>
      <c r="B89" s="2" t="s">
        <v>78</v>
      </c>
      <c r="C89" s="3">
        <v>576.45000000000005</v>
      </c>
      <c r="D89" s="10">
        <v>150</v>
      </c>
      <c r="E89" s="11">
        <f t="shared" si="28"/>
        <v>162.5625</v>
      </c>
      <c r="F89" s="33">
        <v>0</v>
      </c>
      <c r="G89" s="15">
        <v>2.5</v>
      </c>
      <c r="H89" s="33">
        <f t="shared" si="27"/>
        <v>9.375</v>
      </c>
      <c r="I89" s="32">
        <f t="shared" si="26"/>
        <v>171.9375</v>
      </c>
      <c r="J89" s="18">
        <f t="shared" si="29"/>
        <v>0.70173041894353372</v>
      </c>
      <c r="K89" s="21">
        <f t="shared" si="30"/>
        <v>191.04166666666666</v>
      </c>
      <c r="L89" s="24">
        <f t="shared" si="31"/>
        <v>202.27941176470588</v>
      </c>
      <c r="M89" s="27">
        <f t="shared" si="32"/>
        <v>214.921875</v>
      </c>
      <c r="N89" s="30">
        <f t="shared" si="33"/>
        <v>229.25</v>
      </c>
    </row>
    <row r="90" spans="1:14" x14ac:dyDescent="0.3">
      <c r="A90" s="2" t="s">
        <v>31</v>
      </c>
      <c r="B90" s="2" t="s">
        <v>32</v>
      </c>
      <c r="C90" s="3">
        <v>2391.9</v>
      </c>
      <c r="D90" s="10">
        <v>1274.6600000000001</v>
      </c>
      <c r="E90" s="11">
        <f t="shared" si="28"/>
        <v>1381.412775</v>
      </c>
      <c r="F90" s="33">
        <v>0</v>
      </c>
      <c r="G90" s="15">
        <v>3</v>
      </c>
      <c r="H90" s="33">
        <f t="shared" si="27"/>
        <v>11.25</v>
      </c>
      <c r="I90" s="32">
        <f t="shared" si="26"/>
        <v>1392.662775</v>
      </c>
      <c r="J90" s="18">
        <f t="shared" si="29"/>
        <v>0.41775877963125552</v>
      </c>
      <c r="K90" s="21">
        <f t="shared" si="30"/>
        <v>1547.4030833333334</v>
      </c>
      <c r="L90" s="24">
        <f t="shared" si="31"/>
        <v>1638.4267941176472</v>
      </c>
      <c r="M90" s="27">
        <f t="shared" si="32"/>
        <v>1740.82846875</v>
      </c>
      <c r="N90" s="30">
        <f t="shared" si="33"/>
        <v>1856.8837000000001</v>
      </c>
    </row>
    <row r="91" spans="1:14" x14ac:dyDescent="0.3">
      <c r="A91" s="2" t="s">
        <v>63</v>
      </c>
      <c r="B91" s="2" t="s">
        <v>64</v>
      </c>
      <c r="C91" s="3">
        <v>1216.95</v>
      </c>
      <c r="D91" s="10">
        <v>504.41</v>
      </c>
      <c r="E91" s="11">
        <f t="shared" si="28"/>
        <v>546.6543375</v>
      </c>
      <c r="F91" s="33">
        <v>0</v>
      </c>
      <c r="G91" s="15">
        <v>2.5</v>
      </c>
      <c r="H91" s="33">
        <f t="shared" si="27"/>
        <v>9.375</v>
      </c>
      <c r="I91" s="32">
        <f t="shared" si="26"/>
        <v>556.0293375</v>
      </c>
      <c r="J91" s="18">
        <f t="shared" si="29"/>
        <v>0.54309598792062119</v>
      </c>
      <c r="K91" s="21">
        <f t="shared" si="30"/>
        <v>617.81037500000002</v>
      </c>
      <c r="L91" s="24">
        <f t="shared" si="31"/>
        <v>654.15216176470585</v>
      </c>
      <c r="M91" s="27">
        <f t="shared" si="32"/>
        <v>695.03667187499991</v>
      </c>
      <c r="N91" s="30">
        <f t="shared" si="33"/>
        <v>741.37244999999996</v>
      </c>
    </row>
    <row r="92" spans="1:14" x14ac:dyDescent="0.3">
      <c r="A92" s="2" t="s">
        <v>63</v>
      </c>
      <c r="B92" s="2" t="s">
        <v>65</v>
      </c>
      <c r="C92" s="3">
        <v>1330.35</v>
      </c>
      <c r="D92" s="10">
        <v>542.70000000000005</v>
      </c>
      <c r="E92" s="11">
        <f t="shared" si="28"/>
        <v>588.15112500000009</v>
      </c>
      <c r="F92" s="33">
        <v>0</v>
      </c>
      <c r="G92" s="15">
        <v>3</v>
      </c>
      <c r="H92" s="33">
        <f t="shared" si="27"/>
        <v>11.25</v>
      </c>
      <c r="I92" s="32">
        <f t="shared" si="26"/>
        <v>599.40112500000009</v>
      </c>
      <c r="J92" s="18">
        <f t="shared" si="29"/>
        <v>0.54944103055586868</v>
      </c>
      <c r="K92" s="21">
        <f t="shared" si="30"/>
        <v>666.00125000000014</v>
      </c>
      <c r="L92" s="24">
        <f t="shared" si="31"/>
        <v>705.17779411764718</v>
      </c>
      <c r="M92" s="27">
        <f t="shared" si="32"/>
        <v>749.25140625000006</v>
      </c>
      <c r="N92" s="30">
        <f t="shared" si="33"/>
        <v>799.20150000000012</v>
      </c>
    </row>
    <row r="93" spans="1:14" x14ac:dyDescent="0.3">
      <c r="A93" s="2" t="s">
        <v>63</v>
      </c>
      <c r="B93" s="2" t="s">
        <v>66</v>
      </c>
      <c r="C93" s="3">
        <v>1431.15</v>
      </c>
      <c r="D93" s="10">
        <v>578.92999999999995</v>
      </c>
      <c r="E93" s="11">
        <f t="shared" si="28"/>
        <v>627.41538749999995</v>
      </c>
      <c r="F93" s="33">
        <v>0</v>
      </c>
      <c r="G93" s="15">
        <v>3</v>
      </c>
      <c r="H93" s="33">
        <f t="shared" si="27"/>
        <v>11.25</v>
      </c>
      <c r="I93" s="32">
        <f t="shared" si="26"/>
        <v>638.66538749999995</v>
      </c>
      <c r="J93" s="18">
        <f t="shared" si="29"/>
        <v>0.55373972853998543</v>
      </c>
      <c r="K93" s="21">
        <f t="shared" si="30"/>
        <v>709.6282083333333</v>
      </c>
      <c r="L93" s="24">
        <f t="shared" si="31"/>
        <v>751.37104411764699</v>
      </c>
      <c r="M93" s="27">
        <f t="shared" si="32"/>
        <v>798.33173437499988</v>
      </c>
      <c r="N93" s="30">
        <f t="shared" si="33"/>
        <v>851.5538499999999</v>
      </c>
    </row>
    <row r="94" spans="1:14" x14ac:dyDescent="0.3">
      <c r="A94" s="2" t="s">
        <v>63</v>
      </c>
      <c r="B94" s="2" t="s">
        <v>67</v>
      </c>
      <c r="C94" s="3">
        <v>2113.65</v>
      </c>
      <c r="D94" s="10">
        <v>0</v>
      </c>
      <c r="E94" s="11">
        <f t="shared" si="28"/>
        <v>0</v>
      </c>
      <c r="F94" s="33">
        <v>0</v>
      </c>
      <c r="G94" s="15">
        <v>3</v>
      </c>
      <c r="H94" s="33">
        <f t="shared" si="27"/>
        <v>11.25</v>
      </c>
      <c r="I94" s="32">
        <f t="shared" si="26"/>
        <v>11.25</v>
      </c>
      <c r="J94" s="18">
        <f t="shared" si="29"/>
        <v>0.99467745369384719</v>
      </c>
      <c r="K94" s="21">
        <f t="shared" si="30"/>
        <v>12.5</v>
      </c>
      <c r="L94" s="24">
        <f t="shared" si="31"/>
        <v>13.23529411764706</v>
      </c>
      <c r="M94" s="27">
        <f t="shared" si="32"/>
        <v>14.0625</v>
      </c>
      <c r="N94" s="30">
        <f t="shared" si="33"/>
        <v>15</v>
      </c>
    </row>
    <row r="95" spans="1:14" x14ac:dyDescent="0.3">
      <c r="A95" s="2" t="s">
        <v>63</v>
      </c>
      <c r="B95" s="2" t="s">
        <v>73</v>
      </c>
      <c r="C95" s="3">
        <v>603.75</v>
      </c>
      <c r="D95" s="10">
        <v>100</v>
      </c>
      <c r="E95" s="11">
        <f t="shared" si="28"/>
        <v>108.375</v>
      </c>
      <c r="F95" s="33">
        <v>0</v>
      </c>
      <c r="G95" s="15">
        <v>2.5</v>
      </c>
      <c r="H95" s="33">
        <f t="shared" si="27"/>
        <v>9.375</v>
      </c>
      <c r="I95" s="32">
        <f t="shared" si="26"/>
        <v>117.75</v>
      </c>
      <c r="J95" s="18">
        <f t="shared" si="29"/>
        <v>0.80496894409937891</v>
      </c>
      <c r="K95" s="21">
        <f t="shared" si="30"/>
        <v>130.83333333333334</v>
      </c>
      <c r="L95" s="24">
        <f t="shared" si="31"/>
        <v>138.52941176470588</v>
      </c>
      <c r="M95" s="27">
        <f t="shared" si="32"/>
        <v>147.1875</v>
      </c>
      <c r="N95" s="30">
        <f t="shared" si="33"/>
        <v>157</v>
      </c>
    </row>
    <row r="96" spans="1:14" x14ac:dyDescent="0.3">
      <c r="A96" s="2" t="s">
        <v>63</v>
      </c>
      <c r="B96" s="2" t="s">
        <v>76</v>
      </c>
      <c r="C96" s="3">
        <v>708.75</v>
      </c>
      <c r="D96" s="10">
        <v>274.52</v>
      </c>
      <c r="E96" s="11">
        <f t="shared" si="28"/>
        <v>297.51104999999995</v>
      </c>
      <c r="F96" s="33">
        <v>0</v>
      </c>
      <c r="G96" s="15">
        <v>2.5</v>
      </c>
      <c r="H96" s="33">
        <f t="shared" si="27"/>
        <v>9.375</v>
      </c>
      <c r="I96" s="32">
        <f t="shared" si="26"/>
        <v>306.88604999999995</v>
      </c>
      <c r="J96" s="18">
        <f t="shared" si="29"/>
        <v>0.56700380952380958</v>
      </c>
      <c r="K96" s="21">
        <f t="shared" si="30"/>
        <v>340.98449999999997</v>
      </c>
      <c r="L96" s="24">
        <f t="shared" si="31"/>
        <v>361.04241176470583</v>
      </c>
      <c r="M96" s="27">
        <f t="shared" si="32"/>
        <v>383.60756249999991</v>
      </c>
      <c r="N96" s="30">
        <f t="shared" si="33"/>
        <v>409.18139999999994</v>
      </c>
    </row>
    <row r="97" spans="1:14" x14ac:dyDescent="0.3">
      <c r="A97" s="2" t="s">
        <v>63</v>
      </c>
      <c r="B97" s="2" t="s">
        <v>79</v>
      </c>
      <c r="C97" s="3">
        <v>632.1</v>
      </c>
      <c r="D97" s="10">
        <v>150</v>
      </c>
      <c r="E97" s="11">
        <f t="shared" si="28"/>
        <v>162.5625</v>
      </c>
      <c r="F97" s="33">
        <v>0</v>
      </c>
      <c r="G97" s="15">
        <v>2.5</v>
      </c>
      <c r="H97" s="33">
        <f t="shared" si="27"/>
        <v>9.375</v>
      </c>
      <c r="I97" s="32">
        <f t="shared" si="26"/>
        <v>171.9375</v>
      </c>
      <c r="J97" s="18">
        <f t="shared" si="29"/>
        <v>0.72799003322259137</v>
      </c>
      <c r="K97" s="21">
        <f t="shared" si="30"/>
        <v>191.04166666666666</v>
      </c>
      <c r="L97" s="24">
        <f t="shared" si="31"/>
        <v>202.27941176470588</v>
      </c>
      <c r="M97" s="27">
        <f t="shared" si="32"/>
        <v>214.921875</v>
      </c>
      <c r="N97" s="30">
        <f t="shared" si="33"/>
        <v>229.25</v>
      </c>
    </row>
    <row r="98" spans="1:14" x14ac:dyDescent="0.3">
      <c r="A98" s="2" t="s">
        <v>63</v>
      </c>
      <c r="B98" s="2" t="s">
        <v>290</v>
      </c>
      <c r="C98" s="3">
        <v>2491.9</v>
      </c>
      <c r="D98" s="10">
        <v>1374.67</v>
      </c>
      <c r="E98" s="11">
        <f t="shared" si="28"/>
        <v>1489.7986125</v>
      </c>
      <c r="F98" s="33">
        <v>0</v>
      </c>
      <c r="G98" s="15">
        <v>2.5</v>
      </c>
      <c r="H98" s="33">
        <f t="shared" si="27"/>
        <v>9.375</v>
      </c>
      <c r="I98" s="32">
        <f t="shared" si="26"/>
        <v>1499.1736125</v>
      </c>
      <c r="J98" s="18">
        <f t="shared" si="29"/>
        <v>0.39838131044584457</v>
      </c>
      <c r="K98" s="21">
        <f t="shared" si="30"/>
        <v>1665.7484583333332</v>
      </c>
      <c r="L98" s="24">
        <f t="shared" si="31"/>
        <v>1763.7336617647059</v>
      </c>
      <c r="M98" s="27">
        <f t="shared" si="32"/>
        <v>1873.9670156249999</v>
      </c>
      <c r="N98" s="30">
        <f t="shared" si="33"/>
        <v>1998.89815</v>
      </c>
    </row>
    <row r="99" spans="1:14" x14ac:dyDescent="0.3">
      <c r="A99" s="2" t="s">
        <v>56</v>
      </c>
      <c r="B99" s="2" t="s">
        <v>68</v>
      </c>
      <c r="C99" s="3">
        <v>1604.4</v>
      </c>
      <c r="D99" s="10">
        <v>970.32</v>
      </c>
      <c r="E99" s="11">
        <f t="shared" si="28"/>
        <v>1051.5843</v>
      </c>
      <c r="F99" s="33">
        <v>0</v>
      </c>
      <c r="G99" s="15">
        <v>4</v>
      </c>
      <c r="H99" s="33">
        <f t="shared" si="27"/>
        <v>15</v>
      </c>
      <c r="I99" s="32">
        <f t="shared" si="26"/>
        <v>1066.5843</v>
      </c>
      <c r="J99" s="18">
        <f t="shared" si="29"/>
        <v>0.33521297681376222</v>
      </c>
      <c r="K99" s="21">
        <f t="shared" si="30"/>
        <v>1185.0936666666666</v>
      </c>
      <c r="L99" s="24">
        <f t="shared" si="31"/>
        <v>1254.8050588235294</v>
      </c>
      <c r="M99" s="27">
        <f t="shared" si="32"/>
        <v>1333.2303749999999</v>
      </c>
      <c r="N99" s="30">
        <f t="shared" si="33"/>
        <v>1422.1124</v>
      </c>
    </row>
    <row r="100" spans="1:14" x14ac:dyDescent="0.3">
      <c r="A100" s="2" t="s">
        <v>56</v>
      </c>
      <c r="B100" s="2" t="s">
        <v>69</v>
      </c>
      <c r="C100" s="3">
        <v>1677.9</v>
      </c>
      <c r="D100" s="10">
        <v>1008.61</v>
      </c>
      <c r="E100" s="11">
        <f t="shared" si="28"/>
        <v>1093.0810875</v>
      </c>
      <c r="F100" s="33">
        <v>0</v>
      </c>
      <c r="G100" s="15">
        <v>4</v>
      </c>
      <c r="H100" s="33">
        <f t="shared" si="27"/>
        <v>15</v>
      </c>
      <c r="I100" s="32">
        <f t="shared" si="26"/>
        <v>1108.0810875</v>
      </c>
      <c r="J100" s="18">
        <f t="shared" si="29"/>
        <v>0.33960242714106925</v>
      </c>
      <c r="K100" s="21">
        <f t="shared" si="30"/>
        <v>1231.2012083333332</v>
      </c>
      <c r="L100" s="24">
        <f t="shared" si="31"/>
        <v>1303.6248088235295</v>
      </c>
      <c r="M100" s="27">
        <f t="shared" si="32"/>
        <v>1385.1013593749999</v>
      </c>
      <c r="N100" s="30">
        <f t="shared" si="33"/>
        <v>1477.44145</v>
      </c>
    </row>
    <row r="101" spans="1:14" x14ac:dyDescent="0.3">
      <c r="A101" s="2" t="s">
        <v>56</v>
      </c>
      <c r="B101" s="2" t="s">
        <v>70</v>
      </c>
      <c r="C101" s="3">
        <v>1809.15</v>
      </c>
      <c r="D101" s="10">
        <v>1093.25</v>
      </c>
      <c r="E101" s="11">
        <f t="shared" si="28"/>
        <v>1184.8096874999999</v>
      </c>
      <c r="F101" s="33">
        <v>0</v>
      </c>
      <c r="G101" s="15">
        <v>4</v>
      </c>
      <c r="H101" s="33">
        <f t="shared" si="27"/>
        <v>15</v>
      </c>
      <c r="I101" s="32">
        <f t="shared" si="26"/>
        <v>1199.8096874999999</v>
      </c>
      <c r="J101" s="18">
        <f t="shared" si="29"/>
        <v>0.33681027692562815</v>
      </c>
      <c r="K101" s="21">
        <f t="shared" si="30"/>
        <v>1333.1218749999998</v>
      </c>
      <c r="L101" s="24">
        <f t="shared" si="31"/>
        <v>1411.5408088235292</v>
      </c>
      <c r="M101" s="27">
        <f t="shared" si="32"/>
        <v>1499.7621093749997</v>
      </c>
      <c r="N101" s="30">
        <f t="shared" si="33"/>
        <v>1599.7462499999999</v>
      </c>
    </row>
    <row r="102" spans="1:14" x14ac:dyDescent="0.3">
      <c r="A102" s="2" t="s">
        <v>56</v>
      </c>
      <c r="B102" s="2" t="s">
        <v>71</v>
      </c>
      <c r="C102" s="3">
        <v>2638.65</v>
      </c>
      <c r="D102" s="10">
        <v>0</v>
      </c>
      <c r="E102" s="11">
        <f t="shared" si="28"/>
        <v>0</v>
      </c>
      <c r="F102" s="33">
        <v>0</v>
      </c>
      <c r="G102" s="15">
        <v>4</v>
      </c>
      <c r="H102" s="33">
        <f t="shared" si="27"/>
        <v>15</v>
      </c>
      <c r="I102" s="32">
        <f t="shared" si="26"/>
        <v>15</v>
      </c>
      <c r="J102" s="18">
        <f t="shared" si="29"/>
        <v>0.99431527485646065</v>
      </c>
      <c r="K102" s="21">
        <f t="shared" si="30"/>
        <v>16.666666666666668</v>
      </c>
      <c r="L102" s="24">
        <f t="shared" si="31"/>
        <v>17.647058823529413</v>
      </c>
      <c r="M102" s="27">
        <f t="shared" si="32"/>
        <v>18.75</v>
      </c>
      <c r="N102" s="30">
        <f t="shared" si="33"/>
        <v>20</v>
      </c>
    </row>
    <row r="103" spans="1:14" x14ac:dyDescent="0.3">
      <c r="A103" s="2" t="s">
        <v>56</v>
      </c>
      <c r="B103" s="2" t="s">
        <v>74</v>
      </c>
      <c r="C103" s="3">
        <v>761.25</v>
      </c>
      <c r="D103" s="10">
        <v>100</v>
      </c>
      <c r="E103" s="11">
        <f t="shared" si="28"/>
        <v>108.375</v>
      </c>
      <c r="F103" s="33">
        <v>0</v>
      </c>
      <c r="G103" s="15">
        <v>4</v>
      </c>
      <c r="H103" s="33">
        <f t="shared" si="27"/>
        <v>15</v>
      </c>
      <c r="I103" s="32">
        <f t="shared" si="26"/>
        <v>123.375</v>
      </c>
      <c r="J103" s="18">
        <f t="shared" si="29"/>
        <v>0.83793103448275863</v>
      </c>
      <c r="K103" s="21">
        <f t="shared" si="30"/>
        <v>137.08333333333334</v>
      </c>
      <c r="L103" s="24">
        <f t="shared" si="31"/>
        <v>145.14705882352942</v>
      </c>
      <c r="M103" s="27">
        <f t="shared" si="32"/>
        <v>154.21875</v>
      </c>
      <c r="N103" s="30">
        <f t="shared" si="33"/>
        <v>164.5</v>
      </c>
    </row>
    <row r="104" spans="1:14" x14ac:dyDescent="0.3">
      <c r="A104" s="2" t="s">
        <v>56</v>
      </c>
      <c r="B104" s="2" t="s">
        <v>77</v>
      </c>
      <c r="C104" s="3">
        <v>866.25</v>
      </c>
      <c r="D104" s="10">
        <v>322.93</v>
      </c>
      <c r="E104" s="11">
        <f t="shared" si="28"/>
        <v>349.97538750000001</v>
      </c>
      <c r="F104" s="33">
        <v>0</v>
      </c>
      <c r="G104" s="15">
        <v>4</v>
      </c>
      <c r="H104" s="33">
        <f t="shared" si="27"/>
        <v>15</v>
      </c>
      <c r="I104" s="32">
        <f t="shared" si="26"/>
        <v>364.97538750000001</v>
      </c>
      <c r="J104" s="18">
        <f t="shared" si="29"/>
        <v>0.57867199134199132</v>
      </c>
      <c r="K104" s="21">
        <f t="shared" si="30"/>
        <v>405.52820833333334</v>
      </c>
      <c r="L104" s="24">
        <f t="shared" si="31"/>
        <v>429.38280882352944</v>
      </c>
      <c r="M104" s="27">
        <f t="shared" si="32"/>
        <v>456.21923437499998</v>
      </c>
      <c r="N104" s="30">
        <f t="shared" si="33"/>
        <v>486.63385</v>
      </c>
    </row>
    <row r="105" spans="1:14" x14ac:dyDescent="0.3">
      <c r="A105" s="2" t="s">
        <v>56</v>
      </c>
      <c r="B105" s="2" t="s">
        <v>80</v>
      </c>
      <c r="C105" s="3">
        <v>866.25</v>
      </c>
      <c r="D105" s="10">
        <v>150</v>
      </c>
      <c r="E105" s="11">
        <f t="shared" si="28"/>
        <v>162.5625</v>
      </c>
      <c r="F105" s="33">
        <v>0</v>
      </c>
      <c r="G105" s="15">
        <v>4</v>
      </c>
      <c r="H105" s="33">
        <f t="shared" si="27"/>
        <v>15</v>
      </c>
      <c r="I105" s="32">
        <f t="shared" si="26"/>
        <v>177.5625</v>
      </c>
      <c r="J105" s="18">
        <f t="shared" si="29"/>
        <v>0.79502164502164507</v>
      </c>
      <c r="K105" s="21">
        <f t="shared" si="30"/>
        <v>197.29166666666666</v>
      </c>
      <c r="L105" s="24">
        <f t="shared" si="31"/>
        <v>208.89705882352942</v>
      </c>
      <c r="M105" s="27">
        <f t="shared" si="32"/>
        <v>221.953125</v>
      </c>
      <c r="N105" s="30">
        <f t="shared" si="33"/>
        <v>236.75</v>
      </c>
    </row>
    <row r="106" spans="1:14" x14ac:dyDescent="0.3">
      <c r="A106" s="2" t="s">
        <v>98</v>
      </c>
      <c r="B106" s="2" t="s">
        <v>99</v>
      </c>
      <c r="C106" s="3">
        <v>5040</v>
      </c>
      <c r="D106" s="43">
        <v>0</v>
      </c>
      <c r="E106" s="11">
        <f t="shared" si="28"/>
        <v>0</v>
      </c>
      <c r="F106" s="33">
        <v>0</v>
      </c>
      <c r="G106" s="15">
        <v>8</v>
      </c>
      <c r="H106" s="33">
        <f t="shared" si="27"/>
        <v>30</v>
      </c>
      <c r="I106" s="32">
        <f t="shared" si="26"/>
        <v>30</v>
      </c>
      <c r="J106" s="18">
        <f t="shared" si="29"/>
        <v>0.99404761904761907</v>
      </c>
      <c r="K106" s="21">
        <f t="shared" si="30"/>
        <v>33.333333333333336</v>
      </c>
      <c r="L106" s="24">
        <f t="shared" si="31"/>
        <v>35.294117647058826</v>
      </c>
      <c r="M106" s="27">
        <f t="shared" si="32"/>
        <v>37.5</v>
      </c>
      <c r="N106" s="30">
        <f t="shared" si="33"/>
        <v>40</v>
      </c>
    </row>
    <row r="107" spans="1:14" x14ac:dyDescent="0.3">
      <c r="A107" s="2" t="s">
        <v>57</v>
      </c>
      <c r="B107" s="2" t="s">
        <v>58</v>
      </c>
      <c r="C107" s="3">
        <v>708.75</v>
      </c>
      <c r="D107" s="43">
        <v>0</v>
      </c>
      <c r="E107" s="11">
        <f>D107*1.08375</f>
        <v>0</v>
      </c>
      <c r="F107" s="33">
        <v>0</v>
      </c>
      <c r="G107" s="15">
        <v>1</v>
      </c>
      <c r="H107" s="33">
        <f t="shared" si="27"/>
        <v>3.75</v>
      </c>
      <c r="I107" s="32">
        <f t="shared" si="26"/>
        <v>3.75</v>
      </c>
      <c r="J107" s="18">
        <f>(C107-I107)/C107</f>
        <v>0.99470899470899465</v>
      </c>
      <c r="K107" s="21">
        <f>I107/0.9</f>
        <v>4.166666666666667</v>
      </c>
      <c r="L107" s="24">
        <f>I107/0.85</f>
        <v>4.4117647058823533</v>
      </c>
      <c r="M107" s="27">
        <f>I107/0.8</f>
        <v>4.6875</v>
      </c>
      <c r="N107" s="30">
        <f>I107/0.75</f>
        <v>5</v>
      </c>
    </row>
    <row r="108" spans="1:14" x14ac:dyDescent="0.3">
      <c r="A108" s="4" t="s">
        <v>13</v>
      </c>
      <c r="B108" s="2"/>
      <c r="C108" s="3"/>
      <c r="D108" s="10"/>
      <c r="E108" s="11"/>
      <c r="F108" s="33"/>
      <c r="G108" s="15"/>
      <c r="H108" s="33">
        <f t="shared" si="27"/>
        <v>0</v>
      </c>
      <c r="I108" s="32">
        <f t="shared" si="26"/>
        <v>0</v>
      </c>
      <c r="J108" s="18"/>
      <c r="K108" s="21"/>
      <c r="L108" s="24"/>
      <c r="M108" s="27"/>
      <c r="N108" s="30"/>
    </row>
    <row r="109" spans="1:14" x14ac:dyDescent="0.3">
      <c r="A109" s="2" t="s">
        <v>13</v>
      </c>
      <c r="B109" s="2" t="s">
        <v>14</v>
      </c>
      <c r="C109" s="3">
        <v>316.05</v>
      </c>
      <c r="D109" s="10">
        <v>0</v>
      </c>
      <c r="E109" s="11">
        <f t="shared" ref="E109:E126" si="34">D109*1.08375</f>
        <v>0</v>
      </c>
      <c r="F109" s="33">
        <v>0</v>
      </c>
      <c r="G109" s="15"/>
      <c r="H109" s="33">
        <f t="shared" si="27"/>
        <v>0</v>
      </c>
      <c r="I109" s="32">
        <f t="shared" si="26"/>
        <v>0</v>
      </c>
      <c r="J109" s="18">
        <f t="shared" ref="J109:J126" si="35">(C109-I109)/C109</f>
        <v>1</v>
      </c>
      <c r="K109" s="21">
        <f t="shared" ref="K109:K126" si="36">I109/0.9</f>
        <v>0</v>
      </c>
      <c r="L109" s="24">
        <f t="shared" ref="L109:L126" si="37">I109/0.85</f>
        <v>0</v>
      </c>
      <c r="M109" s="27">
        <f t="shared" ref="M109:M126" si="38">I109/0.8</f>
        <v>0</v>
      </c>
      <c r="N109" s="30">
        <f t="shared" ref="N109:N126" si="39">I109/0.75</f>
        <v>0</v>
      </c>
    </row>
    <row r="110" spans="1:14" x14ac:dyDescent="0.3">
      <c r="A110" s="2" t="s">
        <v>13</v>
      </c>
      <c r="B110" s="2" t="s">
        <v>15</v>
      </c>
      <c r="C110" s="3">
        <v>358.05</v>
      </c>
      <c r="D110" s="10">
        <v>0</v>
      </c>
      <c r="E110" s="11">
        <f t="shared" si="34"/>
        <v>0</v>
      </c>
      <c r="F110" s="33">
        <v>0</v>
      </c>
      <c r="G110" s="15"/>
      <c r="H110" s="33">
        <f t="shared" si="27"/>
        <v>0</v>
      </c>
      <c r="I110" s="32">
        <f t="shared" si="26"/>
        <v>0</v>
      </c>
      <c r="J110" s="18">
        <f t="shared" si="35"/>
        <v>1</v>
      </c>
      <c r="K110" s="21">
        <f t="shared" si="36"/>
        <v>0</v>
      </c>
      <c r="L110" s="24">
        <f t="shared" si="37"/>
        <v>0</v>
      </c>
      <c r="M110" s="27">
        <f t="shared" si="38"/>
        <v>0</v>
      </c>
      <c r="N110" s="30">
        <f t="shared" si="39"/>
        <v>0</v>
      </c>
    </row>
    <row r="111" spans="1:14" x14ac:dyDescent="0.3">
      <c r="A111" s="2" t="s">
        <v>13</v>
      </c>
      <c r="B111" s="2" t="s">
        <v>16</v>
      </c>
      <c r="C111" s="3">
        <v>215.25</v>
      </c>
      <c r="D111" s="10">
        <v>0</v>
      </c>
      <c r="E111" s="11">
        <f t="shared" si="34"/>
        <v>0</v>
      </c>
      <c r="F111" s="33">
        <v>0</v>
      </c>
      <c r="G111" s="15"/>
      <c r="H111" s="33">
        <f t="shared" si="27"/>
        <v>0</v>
      </c>
      <c r="I111" s="32">
        <f t="shared" si="26"/>
        <v>0</v>
      </c>
      <c r="J111" s="18">
        <f t="shared" si="35"/>
        <v>1</v>
      </c>
      <c r="K111" s="21">
        <f t="shared" si="36"/>
        <v>0</v>
      </c>
      <c r="L111" s="24">
        <f t="shared" si="37"/>
        <v>0</v>
      </c>
      <c r="M111" s="27">
        <f t="shared" si="38"/>
        <v>0</v>
      </c>
      <c r="N111" s="30">
        <f t="shared" si="39"/>
        <v>0</v>
      </c>
    </row>
    <row r="112" spans="1:14" x14ac:dyDescent="0.3">
      <c r="A112" s="2" t="s">
        <v>13</v>
      </c>
      <c r="B112" s="2" t="s">
        <v>17</v>
      </c>
      <c r="C112" s="3">
        <v>227.85</v>
      </c>
      <c r="D112" s="10">
        <v>0</v>
      </c>
      <c r="E112" s="11">
        <f t="shared" si="34"/>
        <v>0</v>
      </c>
      <c r="F112" s="33">
        <v>0</v>
      </c>
      <c r="G112" s="15"/>
      <c r="H112" s="33">
        <f t="shared" si="27"/>
        <v>0</v>
      </c>
      <c r="I112" s="32">
        <f t="shared" si="26"/>
        <v>0</v>
      </c>
      <c r="J112" s="18">
        <f t="shared" si="35"/>
        <v>1</v>
      </c>
      <c r="K112" s="21">
        <f t="shared" si="36"/>
        <v>0</v>
      </c>
      <c r="L112" s="24">
        <f t="shared" si="37"/>
        <v>0</v>
      </c>
      <c r="M112" s="27">
        <f t="shared" si="38"/>
        <v>0</v>
      </c>
      <c r="N112" s="30">
        <f t="shared" si="39"/>
        <v>0</v>
      </c>
    </row>
    <row r="113" spans="1:14" x14ac:dyDescent="0.3">
      <c r="A113" s="2" t="s">
        <v>13</v>
      </c>
      <c r="B113" s="2" t="s">
        <v>18</v>
      </c>
      <c r="C113" s="3">
        <v>414.75</v>
      </c>
      <c r="D113" s="10">
        <v>0</v>
      </c>
      <c r="E113" s="11">
        <f t="shared" si="34"/>
        <v>0</v>
      </c>
      <c r="F113" s="33">
        <v>0</v>
      </c>
      <c r="G113" s="15"/>
      <c r="H113" s="33">
        <f t="shared" si="27"/>
        <v>0</v>
      </c>
      <c r="I113" s="32">
        <f t="shared" si="26"/>
        <v>0</v>
      </c>
      <c r="J113" s="18">
        <f t="shared" si="35"/>
        <v>1</v>
      </c>
      <c r="K113" s="21">
        <f t="shared" si="36"/>
        <v>0</v>
      </c>
      <c r="L113" s="24">
        <f t="shared" si="37"/>
        <v>0</v>
      </c>
      <c r="M113" s="27">
        <f t="shared" si="38"/>
        <v>0</v>
      </c>
      <c r="N113" s="30">
        <f t="shared" si="39"/>
        <v>0</v>
      </c>
    </row>
    <row r="114" spans="1:14" x14ac:dyDescent="0.3">
      <c r="A114" s="2" t="s">
        <v>13</v>
      </c>
      <c r="B114" s="2" t="s">
        <v>19</v>
      </c>
      <c r="C114" s="3">
        <v>466.2</v>
      </c>
      <c r="D114" s="10">
        <v>0</v>
      </c>
      <c r="E114" s="11">
        <f t="shared" si="34"/>
        <v>0</v>
      </c>
      <c r="F114" s="33">
        <v>0</v>
      </c>
      <c r="G114" s="15"/>
      <c r="H114" s="33">
        <f t="shared" si="27"/>
        <v>0</v>
      </c>
      <c r="I114" s="32">
        <f t="shared" si="26"/>
        <v>0</v>
      </c>
      <c r="J114" s="18">
        <f t="shared" si="35"/>
        <v>1</v>
      </c>
      <c r="K114" s="21">
        <f t="shared" si="36"/>
        <v>0</v>
      </c>
      <c r="L114" s="24">
        <f t="shared" si="37"/>
        <v>0</v>
      </c>
      <c r="M114" s="27">
        <f t="shared" si="38"/>
        <v>0</v>
      </c>
      <c r="N114" s="30">
        <f t="shared" si="39"/>
        <v>0</v>
      </c>
    </row>
    <row r="115" spans="1:14" x14ac:dyDescent="0.3">
      <c r="A115" s="2" t="s">
        <v>13</v>
      </c>
      <c r="B115" s="2" t="s">
        <v>20</v>
      </c>
      <c r="C115" s="3">
        <v>551.25</v>
      </c>
      <c r="D115" s="10">
        <v>0</v>
      </c>
      <c r="E115" s="11">
        <f t="shared" si="34"/>
        <v>0</v>
      </c>
      <c r="F115" s="33">
        <v>0</v>
      </c>
      <c r="G115" s="15"/>
      <c r="H115" s="33">
        <f t="shared" si="27"/>
        <v>0</v>
      </c>
      <c r="I115" s="32">
        <f t="shared" si="26"/>
        <v>0</v>
      </c>
      <c r="J115" s="18">
        <f t="shared" si="35"/>
        <v>1</v>
      </c>
      <c r="K115" s="21">
        <f t="shared" si="36"/>
        <v>0</v>
      </c>
      <c r="L115" s="24">
        <f t="shared" si="37"/>
        <v>0</v>
      </c>
      <c r="M115" s="27">
        <f t="shared" si="38"/>
        <v>0</v>
      </c>
      <c r="N115" s="30">
        <f t="shared" si="39"/>
        <v>0</v>
      </c>
    </row>
    <row r="116" spans="1:14" x14ac:dyDescent="0.3">
      <c r="A116" s="2" t="s">
        <v>13</v>
      </c>
      <c r="B116" s="2" t="s">
        <v>21</v>
      </c>
      <c r="C116" s="3">
        <v>394.8</v>
      </c>
      <c r="D116" s="10">
        <v>0</v>
      </c>
      <c r="E116" s="11">
        <f t="shared" si="34"/>
        <v>0</v>
      </c>
      <c r="F116" s="33">
        <v>0</v>
      </c>
      <c r="G116" s="15"/>
      <c r="H116" s="33">
        <f t="shared" si="27"/>
        <v>0</v>
      </c>
      <c r="I116" s="32">
        <f t="shared" si="26"/>
        <v>0</v>
      </c>
      <c r="J116" s="18">
        <f t="shared" si="35"/>
        <v>1</v>
      </c>
      <c r="K116" s="21">
        <f t="shared" si="36"/>
        <v>0</v>
      </c>
      <c r="L116" s="24">
        <f t="shared" si="37"/>
        <v>0</v>
      </c>
      <c r="M116" s="27">
        <f t="shared" si="38"/>
        <v>0</v>
      </c>
      <c r="N116" s="30">
        <f t="shared" si="39"/>
        <v>0</v>
      </c>
    </row>
    <row r="117" spans="1:14" x14ac:dyDescent="0.3">
      <c r="A117" s="2" t="s">
        <v>13</v>
      </c>
      <c r="B117" s="2" t="s">
        <v>22</v>
      </c>
      <c r="C117" s="3">
        <v>433.65</v>
      </c>
      <c r="D117" s="10">
        <v>0</v>
      </c>
      <c r="E117" s="11">
        <f t="shared" si="34"/>
        <v>0</v>
      </c>
      <c r="F117" s="33">
        <v>0</v>
      </c>
      <c r="G117" s="15"/>
      <c r="H117" s="33">
        <f t="shared" si="27"/>
        <v>0</v>
      </c>
      <c r="I117" s="32">
        <f t="shared" si="26"/>
        <v>0</v>
      </c>
      <c r="J117" s="18">
        <f t="shared" si="35"/>
        <v>1</v>
      </c>
      <c r="K117" s="21">
        <f t="shared" si="36"/>
        <v>0</v>
      </c>
      <c r="L117" s="24">
        <f t="shared" si="37"/>
        <v>0</v>
      </c>
      <c r="M117" s="27">
        <f t="shared" si="38"/>
        <v>0</v>
      </c>
      <c r="N117" s="30">
        <f t="shared" si="39"/>
        <v>0</v>
      </c>
    </row>
    <row r="118" spans="1:14" x14ac:dyDescent="0.3">
      <c r="A118" s="2" t="s">
        <v>13</v>
      </c>
      <c r="B118" s="2" t="s">
        <v>88</v>
      </c>
      <c r="C118" s="3">
        <v>343.35</v>
      </c>
      <c r="D118" s="10">
        <v>0</v>
      </c>
      <c r="E118" s="11">
        <f t="shared" si="34"/>
        <v>0</v>
      </c>
      <c r="F118" s="33">
        <v>0</v>
      </c>
      <c r="G118" s="15"/>
      <c r="H118" s="33">
        <f t="shared" si="27"/>
        <v>0</v>
      </c>
      <c r="I118" s="32">
        <f t="shared" si="26"/>
        <v>0</v>
      </c>
      <c r="J118" s="18">
        <f t="shared" si="35"/>
        <v>1</v>
      </c>
      <c r="K118" s="21">
        <f t="shared" si="36"/>
        <v>0</v>
      </c>
      <c r="L118" s="24">
        <f t="shared" si="37"/>
        <v>0</v>
      </c>
      <c r="M118" s="27">
        <f t="shared" si="38"/>
        <v>0</v>
      </c>
      <c r="N118" s="30">
        <f t="shared" si="39"/>
        <v>0</v>
      </c>
    </row>
    <row r="119" spans="1:14" x14ac:dyDescent="0.3">
      <c r="A119" s="2" t="s">
        <v>13</v>
      </c>
      <c r="B119" s="2" t="s">
        <v>137</v>
      </c>
      <c r="C119" s="3">
        <v>465</v>
      </c>
      <c r="D119" s="10">
        <v>0</v>
      </c>
      <c r="E119" s="11">
        <f t="shared" si="34"/>
        <v>0</v>
      </c>
      <c r="F119" s="33">
        <v>0</v>
      </c>
      <c r="G119" s="15"/>
      <c r="H119" s="33">
        <f t="shared" si="27"/>
        <v>0</v>
      </c>
      <c r="I119" s="32">
        <f t="shared" si="26"/>
        <v>0</v>
      </c>
      <c r="J119" s="18">
        <f t="shared" si="35"/>
        <v>1</v>
      </c>
      <c r="K119" s="21">
        <f t="shared" si="36"/>
        <v>0</v>
      </c>
      <c r="L119" s="24">
        <f t="shared" si="37"/>
        <v>0</v>
      </c>
      <c r="M119" s="27">
        <f t="shared" si="38"/>
        <v>0</v>
      </c>
      <c r="N119" s="30">
        <f t="shared" si="39"/>
        <v>0</v>
      </c>
    </row>
    <row r="120" spans="1:14" x14ac:dyDescent="0.3">
      <c r="A120" s="2" t="s">
        <v>13</v>
      </c>
      <c r="B120" s="2" t="s">
        <v>37</v>
      </c>
      <c r="C120" s="3">
        <v>189</v>
      </c>
      <c r="D120" s="10">
        <v>0</v>
      </c>
      <c r="E120" s="11">
        <f t="shared" si="34"/>
        <v>0</v>
      </c>
      <c r="F120" s="33">
        <v>0</v>
      </c>
      <c r="G120" s="15"/>
      <c r="H120" s="33">
        <f t="shared" si="27"/>
        <v>0</v>
      </c>
      <c r="I120" s="32">
        <f t="shared" si="26"/>
        <v>0</v>
      </c>
      <c r="J120" s="18">
        <f t="shared" si="35"/>
        <v>1</v>
      </c>
      <c r="K120" s="21">
        <f t="shared" si="36"/>
        <v>0</v>
      </c>
      <c r="L120" s="24">
        <f t="shared" si="37"/>
        <v>0</v>
      </c>
      <c r="M120" s="27">
        <f t="shared" si="38"/>
        <v>0</v>
      </c>
      <c r="N120" s="30">
        <f t="shared" si="39"/>
        <v>0</v>
      </c>
    </row>
    <row r="121" spans="1:14" x14ac:dyDescent="0.3">
      <c r="A121" s="2" t="s">
        <v>6</v>
      </c>
      <c r="B121" s="2" t="s">
        <v>7</v>
      </c>
      <c r="C121" s="3">
        <v>51.45</v>
      </c>
      <c r="D121" s="10">
        <v>0</v>
      </c>
      <c r="E121" s="11">
        <f t="shared" si="34"/>
        <v>0</v>
      </c>
      <c r="F121" s="33">
        <v>0</v>
      </c>
      <c r="G121" s="15"/>
      <c r="H121" s="33">
        <f t="shared" si="27"/>
        <v>0</v>
      </c>
      <c r="I121" s="32">
        <f t="shared" si="26"/>
        <v>0</v>
      </c>
      <c r="J121" s="18">
        <f t="shared" si="35"/>
        <v>1</v>
      </c>
      <c r="K121" s="21">
        <f t="shared" si="36"/>
        <v>0</v>
      </c>
      <c r="L121" s="24">
        <f t="shared" si="37"/>
        <v>0</v>
      </c>
      <c r="M121" s="27">
        <f t="shared" si="38"/>
        <v>0</v>
      </c>
      <c r="N121" s="30">
        <f t="shared" si="39"/>
        <v>0</v>
      </c>
    </row>
    <row r="122" spans="1:14" x14ac:dyDescent="0.3">
      <c r="A122" s="2" t="s">
        <v>6</v>
      </c>
      <c r="B122" s="2" t="s">
        <v>30</v>
      </c>
      <c r="C122" s="3">
        <v>498.75</v>
      </c>
      <c r="D122" s="10">
        <v>0</v>
      </c>
      <c r="E122" s="11">
        <f t="shared" si="34"/>
        <v>0</v>
      </c>
      <c r="F122" s="33">
        <v>0</v>
      </c>
      <c r="G122" s="15"/>
      <c r="H122" s="33">
        <f t="shared" si="27"/>
        <v>0</v>
      </c>
      <c r="I122" s="32">
        <f t="shared" si="26"/>
        <v>0</v>
      </c>
      <c r="J122" s="18">
        <f t="shared" si="35"/>
        <v>1</v>
      </c>
      <c r="K122" s="21">
        <f t="shared" si="36"/>
        <v>0</v>
      </c>
      <c r="L122" s="24">
        <f t="shared" si="37"/>
        <v>0</v>
      </c>
      <c r="M122" s="27">
        <f t="shared" si="38"/>
        <v>0</v>
      </c>
      <c r="N122" s="30">
        <f t="shared" si="39"/>
        <v>0</v>
      </c>
    </row>
    <row r="123" spans="1:14" x14ac:dyDescent="0.3">
      <c r="A123" s="2" t="s">
        <v>6</v>
      </c>
      <c r="B123" s="2" t="s">
        <v>55</v>
      </c>
      <c r="C123" s="3">
        <v>519.75</v>
      </c>
      <c r="D123" s="10">
        <v>0</v>
      </c>
      <c r="E123" s="11">
        <f t="shared" si="34"/>
        <v>0</v>
      </c>
      <c r="F123" s="33">
        <v>0</v>
      </c>
      <c r="G123" s="15"/>
      <c r="H123" s="33">
        <f t="shared" si="27"/>
        <v>0</v>
      </c>
      <c r="I123" s="32">
        <f t="shared" si="26"/>
        <v>0</v>
      </c>
      <c r="J123" s="18">
        <f t="shared" si="35"/>
        <v>1</v>
      </c>
      <c r="K123" s="21">
        <f t="shared" si="36"/>
        <v>0</v>
      </c>
      <c r="L123" s="24">
        <f t="shared" si="37"/>
        <v>0</v>
      </c>
      <c r="M123" s="27">
        <f t="shared" si="38"/>
        <v>0</v>
      </c>
      <c r="N123" s="30">
        <f t="shared" si="39"/>
        <v>0</v>
      </c>
    </row>
    <row r="124" spans="1:14" x14ac:dyDescent="0.3">
      <c r="A124" s="2" t="s">
        <v>6</v>
      </c>
      <c r="B124" s="2" t="s">
        <v>81</v>
      </c>
      <c r="C124" s="3">
        <v>656.25</v>
      </c>
      <c r="D124" s="10">
        <v>0</v>
      </c>
      <c r="E124" s="11">
        <f t="shared" si="34"/>
        <v>0</v>
      </c>
      <c r="F124" s="33">
        <v>0</v>
      </c>
      <c r="G124" s="15"/>
      <c r="H124" s="33">
        <f t="shared" si="27"/>
        <v>0</v>
      </c>
      <c r="I124" s="32">
        <f t="shared" si="26"/>
        <v>0</v>
      </c>
      <c r="J124" s="18">
        <f t="shared" si="35"/>
        <v>1</v>
      </c>
      <c r="K124" s="21">
        <f t="shared" si="36"/>
        <v>0</v>
      </c>
      <c r="L124" s="24">
        <f t="shared" si="37"/>
        <v>0</v>
      </c>
      <c r="M124" s="27">
        <f t="shared" si="38"/>
        <v>0</v>
      </c>
      <c r="N124" s="30">
        <f t="shared" si="39"/>
        <v>0</v>
      </c>
    </row>
    <row r="125" spans="1:14" x14ac:dyDescent="0.3">
      <c r="A125" s="2" t="s">
        <v>6</v>
      </c>
      <c r="B125" s="2" t="s">
        <v>124</v>
      </c>
      <c r="C125" s="3">
        <v>571.52</v>
      </c>
      <c r="D125" s="10">
        <v>0</v>
      </c>
      <c r="E125" s="11">
        <f t="shared" si="34"/>
        <v>0</v>
      </c>
      <c r="F125" s="33">
        <v>0</v>
      </c>
      <c r="G125" s="15"/>
      <c r="H125" s="33">
        <f t="shared" si="27"/>
        <v>0</v>
      </c>
      <c r="I125" s="32">
        <f t="shared" si="26"/>
        <v>0</v>
      </c>
      <c r="J125" s="18">
        <f t="shared" si="35"/>
        <v>1</v>
      </c>
      <c r="K125" s="21">
        <f t="shared" si="36"/>
        <v>0</v>
      </c>
      <c r="L125" s="24">
        <f t="shared" si="37"/>
        <v>0</v>
      </c>
      <c r="M125" s="27">
        <f t="shared" si="38"/>
        <v>0</v>
      </c>
      <c r="N125" s="30">
        <f t="shared" si="39"/>
        <v>0</v>
      </c>
    </row>
    <row r="126" spans="1:14" x14ac:dyDescent="0.3">
      <c r="A126" s="2" t="s">
        <v>6</v>
      </c>
      <c r="B126" s="2" t="s">
        <v>128</v>
      </c>
      <c r="C126" s="3">
        <v>866.25</v>
      </c>
      <c r="D126" s="10">
        <v>0</v>
      </c>
      <c r="E126" s="11">
        <f t="shared" si="34"/>
        <v>0</v>
      </c>
      <c r="F126" s="33">
        <v>0</v>
      </c>
      <c r="G126" s="15"/>
      <c r="H126" s="33">
        <f t="shared" si="27"/>
        <v>0</v>
      </c>
      <c r="I126" s="32">
        <f t="shared" si="26"/>
        <v>0</v>
      </c>
      <c r="J126" s="18">
        <f t="shared" si="35"/>
        <v>1</v>
      </c>
      <c r="K126" s="21">
        <f t="shared" si="36"/>
        <v>0</v>
      </c>
      <c r="L126" s="24">
        <f t="shared" si="37"/>
        <v>0</v>
      </c>
      <c r="M126" s="27">
        <f t="shared" si="38"/>
        <v>0</v>
      </c>
      <c r="N126" s="30">
        <f t="shared" si="39"/>
        <v>0</v>
      </c>
    </row>
    <row r="127" spans="1:14" x14ac:dyDescent="0.3">
      <c r="A127" s="4" t="s">
        <v>151</v>
      </c>
      <c r="B127" s="2"/>
      <c r="C127" s="3"/>
      <c r="D127" s="10"/>
      <c r="E127" s="11"/>
      <c r="F127" s="33"/>
      <c r="G127" s="15"/>
      <c r="H127" s="33">
        <f t="shared" si="27"/>
        <v>0</v>
      </c>
      <c r="I127" s="32">
        <f t="shared" si="26"/>
        <v>0</v>
      </c>
      <c r="J127" s="18"/>
      <c r="K127" s="21"/>
      <c r="L127" s="24"/>
      <c r="M127" s="27"/>
      <c r="N127" s="30"/>
    </row>
    <row r="128" spans="1:14" x14ac:dyDescent="0.3">
      <c r="A128" s="2" t="s">
        <v>89</v>
      </c>
      <c r="B128" s="2" t="s">
        <v>91</v>
      </c>
      <c r="C128" s="3">
        <v>1719.9</v>
      </c>
      <c r="D128" s="10">
        <v>0</v>
      </c>
      <c r="E128" s="11">
        <f t="shared" ref="E128:E133" si="40">D128*1.08375</f>
        <v>0</v>
      </c>
      <c r="F128" s="33">
        <v>0</v>
      </c>
      <c r="G128" s="15"/>
      <c r="H128" s="33">
        <f t="shared" si="27"/>
        <v>0</v>
      </c>
      <c r="I128" s="32">
        <f t="shared" si="26"/>
        <v>0</v>
      </c>
      <c r="J128" s="18">
        <f t="shared" ref="J128:J133" si="41">(C128-I128)/C128</f>
        <v>1</v>
      </c>
      <c r="K128" s="21">
        <f t="shared" ref="K128:K133" si="42">I128/0.9</f>
        <v>0</v>
      </c>
      <c r="L128" s="24">
        <f t="shared" ref="L128:L133" si="43">I128/0.85</f>
        <v>0</v>
      </c>
      <c r="M128" s="27">
        <f t="shared" ref="M128:M133" si="44">I128/0.8</f>
        <v>0</v>
      </c>
      <c r="N128" s="30">
        <f t="shared" ref="N128:N133" si="45">I128/0.75</f>
        <v>0</v>
      </c>
    </row>
    <row r="129" spans="1:14" x14ac:dyDescent="0.3">
      <c r="A129" s="2" t="s">
        <v>89</v>
      </c>
      <c r="B129" s="2" t="s">
        <v>90</v>
      </c>
      <c r="C129" s="3">
        <v>1901.55</v>
      </c>
      <c r="D129" s="10">
        <v>0</v>
      </c>
      <c r="E129" s="11">
        <f t="shared" si="40"/>
        <v>0</v>
      </c>
      <c r="F129" s="33">
        <v>0</v>
      </c>
      <c r="G129" s="15"/>
      <c r="H129" s="33">
        <f t="shared" si="27"/>
        <v>0</v>
      </c>
      <c r="I129" s="32">
        <f t="shared" si="26"/>
        <v>0</v>
      </c>
      <c r="J129" s="18">
        <f t="shared" si="41"/>
        <v>1</v>
      </c>
      <c r="K129" s="21">
        <f t="shared" si="42"/>
        <v>0</v>
      </c>
      <c r="L129" s="24">
        <f t="shared" si="43"/>
        <v>0</v>
      </c>
      <c r="M129" s="27">
        <f t="shared" si="44"/>
        <v>0</v>
      </c>
      <c r="N129" s="30">
        <f t="shared" si="45"/>
        <v>0</v>
      </c>
    </row>
    <row r="130" spans="1:14" x14ac:dyDescent="0.3">
      <c r="A130" s="2" t="s">
        <v>89</v>
      </c>
      <c r="B130" s="2" t="s">
        <v>92</v>
      </c>
      <c r="C130" s="3">
        <v>2233.35</v>
      </c>
      <c r="D130" s="10">
        <v>0</v>
      </c>
      <c r="E130" s="11">
        <f t="shared" si="40"/>
        <v>0</v>
      </c>
      <c r="F130" s="33">
        <v>0</v>
      </c>
      <c r="G130" s="15"/>
      <c r="H130" s="33">
        <f t="shared" si="27"/>
        <v>0</v>
      </c>
      <c r="I130" s="32">
        <f>E130+H130</f>
        <v>0</v>
      </c>
      <c r="J130" s="18">
        <f t="shared" si="41"/>
        <v>1</v>
      </c>
      <c r="K130" s="21">
        <f t="shared" si="42"/>
        <v>0</v>
      </c>
      <c r="L130" s="24">
        <f t="shared" si="43"/>
        <v>0</v>
      </c>
      <c r="M130" s="27">
        <f t="shared" si="44"/>
        <v>0</v>
      </c>
      <c r="N130" s="30">
        <f t="shared" si="45"/>
        <v>0</v>
      </c>
    </row>
    <row r="131" spans="1:14" x14ac:dyDescent="0.3">
      <c r="A131" s="2" t="s">
        <v>93</v>
      </c>
      <c r="B131" s="2" t="s">
        <v>94</v>
      </c>
      <c r="C131" s="3">
        <v>708.75</v>
      </c>
      <c r="D131" s="10">
        <v>0</v>
      </c>
      <c r="E131" s="11">
        <f t="shared" si="40"/>
        <v>0</v>
      </c>
      <c r="F131" s="33">
        <v>0</v>
      </c>
      <c r="G131" s="15"/>
      <c r="H131" s="33">
        <f>G131*3.75</f>
        <v>0</v>
      </c>
      <c r="I131" s="32">
        <f>E131+H131</f>
        <v>0</v>
      </c>
      <c r="J131" s="18">
        <f t="shared" si="41"/>
        <v>1</v>
      </c>
      <c r="K131" s="21">
        <f t="shared" si="42"/>
        <v>0</v>
      </c>
      <c r="L131" s="24">
        <f t="shared" si="43"/>
        <v>0</v>
      </c>
      <c r="M131" s="27">
        <f t="shared" si="44"/>
        <v>0</v>
      </c>
      <c r="N131" s="30">
        <f t="shared" si="45"/>
        <v>0</v>
      </c>
    </row>
    <row r="132" spans="1:14" x14ac:dyDescent="0.3">
      <c r="A132" s="2" t="s">
        <v>93</v>
      </c>
      <c r="B132" s="2" t="s">
        <v>95</v>
      </c>
      <c r="C132" s="3">
        <v>843.15</v>
      </c>
      <c r="D132" s="10">
        <v>0</v>
      </c>
      <c r="E132" s="11">
        <f t="shared" si="40"/>
        <v>0</v>
      </c>
      <c r="F132" s="33">
        <v>0</v>
      </c>
      <c r="G132" s="15"/>
      <c r="H132" s="33">
        <f>G132*3.75</f>
        <v>0</v>
      </c>
      <c r="I132" s="32">
        <f>E132+H132</f>
        <v>0</v>
      </c>
      <c r="J132" s="18">
        <f t="shared" si="41"/>
        <v>1</v>
      </c>
      <c r="K132" s="21">
        <f t="shared" si="42"/>
        <v>0</v>
      </c>
      <c r="L132" s="24">
        <f t="shared" si="43"/>
        <v>0</v>
      </c>
      <c r="M132" s="27">
        <f t="shared" si="44"/>
        <v>0</v>
      </c>
      <c r="N132" s="30">
        <f t="shared" si="45"/>
        <v>0</v>
      </c>
    </row>
    <row r="133" spans="1:14" x14ac:dyDescent="0.3">
      <c r="A133" s="7" t="s">
        <v>96</v>
      </c>
      <c r="B133" s="7" t="s">
        <v>97</v>
      </c>
      <c r="C133" s="8">
        <v>3613.05</v>
      </c>
      <c r="D133" s="12">
        <v>0</v>
      </c>
      <c r="E133" s="13">
        <f t="shared" si="40"/>
        <v>0</v>
      </c>
      <c r="F133" s="33">
        <v>0</v>
      </c>
      <c r="G133" s="16"/>
      <c r="H133" s="33">
        <f>G133*3.75</f>
        <v>0</v>
      </c>
      <c r="I133" s="32">
        <f>E133+H133</f>
        <v>0</v>
      </c>
      <c r="J133" s="19">
        <f t="shared" si="41"/>
        <v>1</v>
      </c>
      <c r="K133" s="22">
        <f t="shared" si="42"/>
        <v>0</v>
      </c>
      <c r="L133" s="25">
        <f t="shared" si="43"/>
        <v>0</v>
      </c>
      <c r="M133" s="28">
        <f t="shared" si="44"/>
        <v>0</v>
      </c>
      <c r="N133" s="31">
        <f t="shared" si="4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609D3197-7E69-4F2C-AD40-A87E5E3128F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Pricing</vt:lpstr>
      <vt:lpstr>Part Combo</vt:lpstr>
      <vt:lpstr>Part Pricing</vt:lpstr>
      <vt:lpstr>Hourly Rate</vt:lpstr>
      <vt:lpstr>HCP Price Book</vt:lpstr>
      <vt:lpstr>DO NOT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Thomason</dc:creator>
  <cp:lastModifiedBy>Kenneth Thomason</cp:lastModifiedBy>
  <cp:lastPrinted>2021-01-26T22:00:51Z</cp:lastPrinted>
  <dcterms:created xsi:type="dcterms:W3CDTF">2021-01-12T17:15:11Z</dcterms:created>
  <dcterms:modified xsi:type="dcterms:W3CDTF">2021-07-10T13:58:22Z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{609D3197-7E69-4F2C-AD40-A87E5E3128FC}</vt:lpwstr>
  </property>
</Properties>
</file>